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432" windowWidth="12240" windowHeight="6900"/>
  </bookViews>
  <sheets>
    <sheet name="Hoja1" sheetId="1" r:id="rId1"/>
    <sheet name="Hoja1 (2)" sheetId="4" state="hidden" r:id="rId2"/>
  </sheets>
  <definedNames>
    <definedName name="_xlnm.Print_Area" localSheetId="0">Hoja1!$A$1:$AO$54</definedName>
    <definedName name="_xlnm.Print_Titles" localSheetId="0">Hoja1!$A:$A</definedName>
  </definedNames>
  <calcPr calcId="145621"/>
</workbook>
</file>

<file path=xl/calcChain.xml><?xml version="1.0" encoding="utf-8"?>
<calcChain xmlns="http://schemas.openxmlformats.org/spreadsheetml/2006/main">
  <c r="X44" i="1" l="1"/>
  <c r="AO35" i="1" l="1"/>
  <c r="AO32" i="1" s="1"/>
  <c r="AN35" i="1"/>
  <c r="AN32" i="1" s="1"/>
  <c r="AM35" i="1"/>
  <c r="AM32" i="1" s="1"/>
  <c r="AL35" i="1"/>
  <c r="AL32" i="1" s="1"/>
  <c r="AK35" i="1"/>
  <c r="AK32" i="1" s="1"/>
  <c r="AJ35" i="1"/>
  <c r="AJ32" i="1" s="1"/>
  <c r="AI35" i="1"/>
  <c r="AI32" i="1" s="1"/>
  <c r="AH35" i="1"/>
  <c r="AH32" i="1" s="1"/>
  <c r="AG35" i="1"/>
  <c r="AO28" i="1"/>
  <c r="AN28" i="1"/>
  <c r="AM28" i="1"/>
  <c r="AO23" i="1"/>
  <c r="AN23" i="1"/>
  <c r="AM23" i="1"/>
  <c r="AO19" i="1"/>
  <c r="AN19" i="1"/>
  <c r="AM19" i="1"/>
  <c r="AO11" i="1"/>
  <c r="AN11" i="1"/>
  <c r="AM11" i="1"/>
  <c r="AO3" i="1"/>
  <c r="AN3" i="1"/>
  <c r="AM3" i="1"/>
  <c r="AL28" i="1"/>
  <c r="AK28" i="1"/>
  <c r="AJ28" i="1"/>
  <c r="AL23" i="1"/>
  <c r="AK23" i="1"/>
  <c r="AJ23" i="1"/>
  <c r="AL19" i="1"/>
  <c r="AK19" i="1"/>
  <c r="AJ19" i="1"/>
  <c r="AL11" i="1"/>
  <c r="AK11" i="1"/>
  <c r="AJ11" i="1"/>
  <c r="AL3" i="1"/>
  <c r="AK3" i="1"/>
  <c r="AJ3" i="1"/>
  <c r="AH28" i="1"/>
  <c r="AH23" i="1"/>
  <c r="AH19" i="1"/>
  <c r="AH11" i="1"/>
  <c r="AH3" i="1"/>
  <c r="AI28" i="1"/>
  <c r="AG28" i="1"/>
  <c r="AI23" i="1"/>
  <c r="AG23" i="1"/>
  <c r="AI19" i="1"/>
  <c r="AG19" i="1"/>
  <c r="AI11" i="1"/>
  <c r="AG11" i="1"/>
  <c r="AI3" i="1"/>
  <c r="AG3" i="1"/>
  <c r="AG32" i="1" l="1"/>
  <c r="AJ42" i="1"/>
  <c r="AJ47" i="1" s="1"/>
  <c r="AJ50" i="1" s="1"/>
  <c r="AH42" i="1"/>
  <c r="AH47" i="1" s="1"/>
  <c r="AH50" i="1" s="1"/>
  <c r="AL42" i="1"/>
  <c r="AL47" i="1" s="1"/>
  <c r="AL50" i="1" s="1"/>
  <c r="AO42" i="1"/>
  <c r="AO47" i="1" s="1"/>
  <c r="AO50" i="1" s="1"/>
  <c r="AK42" i="1"/>
  <c r="AK47" i="1" s="1"/>
  <c r="AK50" i="1" s="1"/>
  <c r="AN42" i="1"/>
  <c r="AN47" i="1" s="1"/>
  <c r="AN50" i="1" s="1"/>
  <c r="AM42" i="1"/>
  <c r="AM47" i="1" s="1"/>
  <c r="AM50" i="1" s="1"/>
  <c r="AI42" i="1"/>
  <c r="AI47" i="1" s="1"/>
  <c r="AI50" i="1" s="1"/>
  <c r="AG42" i="1"/>
  <c r="AG47" i="1" s="1"/>
  <c r="AG50" i="1" s="1"/>
  <c r="Z44" i="1"/>
  <c r="Z46" i="1" l="1"/>
  <c r="X46" i="1"/>
  <c r="Y46" i="1" l="1"/>
  <c r="W46" i="1"/>
  <c r="W44" i="1"/>
  <c r="P12" i="1" l="1"/>
  <c r="Q12" i="1"/>
  <c r="R12" i="1"/>
  <c r="S12" i="1"/>
  <c r="P35" i="1"/>
  <c r="Q35" i="1"/>
  <c r="R35" i="1"/>
  <c r="S35" i="1"/>
  <c r="AC49" i="1" l="1"/>
  <c r="AB49" i="1"/>
  <c r="AA49" i="1"/>
  <c r="AC48" i="1"/>
  <c r="AB48" i="1"/>
  <c r="AA48" i="1"/>
  <c r="AC46" i="1"/>
  <c r="AB46" i="1"/>
  <c r="AA46" i="1"/>
  <c r="AC45" i="1"/>
  <c r="AB45" i="1"/>
  <c r="AA45" i="1"/>
  <c r="AC44" i="1"/>
  <c r="AB44" i="1"/>
  <c r="AA44" i="1"/>
  <c r="AC43" i="1"/>
  <c r="AB43" i="1"/>
  <c r="AA43" i="1"/>
  <c r="AC41" i="1"/>
  <c r="AB41" i="1"/>
  <c r="AA41" i="1"/>
  <c r="AC40" i="1"/>
  <c r="AB40" i="1"/>
  <c r="AA40" i="1"/>
  <c r="AC39" i="1"/>
  <c r="AB39" i="1"/>
  <c r="AA39" i="1"/>
  <c r="AC38" i="1"/>
  <c r="AB38" i="1"/>
  <c r="AA38" i="1"/>
  <c r="AC37" i="1"/>
  <c r="AB37" i="1"/>
  <c r="AA37" i="1"/>
  <c r="AC36" i="1"/>
  <c r="AB36" i="1"/>
  <c r="AA36" i="1"/>
  <c r="AC34" i="1"/>
  <c r="AB34" i="1"/>
  <c r="AA34" i="1"/>
  <c r="AC33" i="1"/>
  <c r="AB33" i="1"/>
  <c r="AA33" i="1"/>
  <c r="AC31" i="1"/>
  <c r="AB31" i="1"/>
  <c r="AA31" i="1"/>
  <c r="AC30" i="1"/>
  <c r="AB30" i="1"/>
  <c r="AA30" i="1"/>
  <c r="AC29" i="1"/>
  <c r="AB29" i="1"/>
  <c r="AA29" i="1"/>
  <c r="AC27" i="1"/>
  <c r="AB27" i="1"/>
  <c r="AA27" i="1"/>
  <c r="AC26" i="1"/>
  <c r="AB26" i="1"/>
  <c r="AA26" i="1"/>
  <c r="AC25" i="1"/>
  <c r="AB25" i="1"/>
  <c r="AA25" i="1"/>
  <c r="AC24" i="1"/>
  <c r="AB24" i="1"/>
  <c r="AA24" i="1"/>
  <c r="AC22" i="1"/>
  <c r="AB22" i="1"/>
  <c r="AA22" i="1"/>
  <c r="AC21" i="1"/>
  <c r="AB21" i="1"/>
  <c r="AA21" i="1"/>
  <c r="AC20" i="1"/>
  <c r="AB20" i="1"/>
  <c r="AA20" i="1"/>
  <c r="AC18" i="1"/>
  <c r="AB18" i="1"/>
  <c r="AA18" i="1"/>
  <c r="AC17" i="1"/>
  <c r="AB17" i="1"/>
  <c r="AA17" i="1"/>
  <c r="AC16" i="1"/>
  <c r="AB16" i="1"/>
  <c r="AA16" i="1"/>
  <c r="AC15" i="1"/>
  <c r="AB15" i="1"/>
  <c r="AA15" i="1"/>
  <c r="AC14" i="1"/>
  <c r="AB14" i="1"/>
  <c r="AA14" i="1"/>
  <c r="AC13" i="1"/>
  <c r="AB13" i="1"/>
  <c r="AA13" i="1"/>
  <c r="AC10" i="1"/>
  <c r="AB10" i="1"/>
  <c r="AA10" i="1"/>
  <c r="AC9" i="1"/>
  <c r="AB9" i="1"/>
  <c r="AA9" i="1"/>
  <c r="AC8" i="1"/>
  <c r="AB8" i="1"/>
  <c r="AA8" i="1"/>
  <c r="AC7" i="1"/>
  <c r="AB7" i="1"/>
  <c r="AA7" i="1"/>
  <c r="AC6" i="1"/>
  <c r="AB6" i="1"/>
  <c r="AA6" i="1"/>
  <c r="AC5" i="1"/>
  <c r="AB5" i="1"/>
  <c r="AA5" i="1"/>
  <c r="AC4" i="1"/>
  <c r="AB4" i="1"/>
  <c r="AA4" i="1"/>
  <c r="V49" i="1"/>
  <c r="U49" i="1"/>
  <c r="T49" i="1"/>
  <c r="V48" i="1"/>
  <c r="U48" i="1"/>
  <c r="T48" i="1"/>
  <c r="V46" i="1"/>
  <c r="U46" i="1"/>
  <c r="T46" i="1"/>
  <c r="V45" i="1"/>
  <c r="U45" i="1"/>
  <c r="T45" i="1"/>
  <c r="V44" i="1"/>
  <c r="U44" i="1"/>
  <c r="T44" i="1"/>
  <c r="V43" i="1"/>
  <c r="U43" i="1"/>
  <c r="T43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4" i="1"/>
  <c r="U34" i="1"/>
  <c r="T34" i="1"/>
  <c r="V33" i="1"/>
  <c r="U33" i="1"/>
  <c r="T33" i="1"/>
  <c r="V31" i="1"/>
  <c r="U31" i="1"/>
  <c r="T31" i="1"/>
  <c r="V30" i="1"/>
  <c r="U30" i="1"/>
  <c r="T30" i="1"/>
  <c r="V29" i="1"/>
  <c r="U29" i="1"/>
  <c r="T29" i="1"/>
  <c r="V27" i="1"/>
  <c r="U27" i="1"/>
  <c r="T27" i="1"/>
  <c r="V26" i="1"/>
  <c r="U26" i="1"/>
  <c r="T26" i="1"/>
  <c r="V25" i="1"/>
  <c r="U25" i="1"/>
  <c r="T25" i="1"/>
  <c r="V24" i="1"/>
  <c r="U24" i="1"/>
  <c r="T24" i="1"/>
  <c r="V22" i="1"/>
  <c r="U22" i="1"/>
  <c r="T22" i="1"/>
  <c r="V21" i="1"/>
  <c r="U21" i="1"/>
  <c r="T21" i="1"/>
  <c r="V20" i="1"/>
  <c r="U20" i="1"/>
  <c r="T20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0" i="1"/>
  <c r="U10" i="1"/>
  <c r="T10" i="1"/>
  <c r="V9" i="1"/>
  <c r="U9" i="1"/>
  <c r="T9" i="1"/>
  <c r="V8" i="1"/>
  <c r="U8" i="1"/>
  <c r="T8" i="1"/>
  <c r="V7" i="1"/>
  <c r="U7" i="1"/>
  <c r="T7" i="1"/>
  <c r="V6" i="1"/>
  <c r="U6" i="1"/>
  <c r="T6" i="1"/>
  <c r="V5" i="1"/>
  <c r="U5" i="1"/>
  <c r="T5" i="1"/>
  <c r="V4" i="1"/>
  <c r="U4" i="1"/>
  <c r="T4" i="1"/>
  <c r="Z12" i="1" l="1"/>
  <c r="Y12" i="1"/>
  <c r="Y11" i="1" s="1"/>
  <c r="X12" i="1"/>
  <c r="W12" i="1"/>
  <c r="R11" i="1"/>
  <c r="Q11" i="1"/>
  <c r="T12" i="1"/>
  <c r="Z35" i="1"/>
  <c r="Y35" i="1"/>
  <c r="Y32" i="1" s="1"/>
  <c r="X35" i="1"/>
  <c r="W35" i="1"/>
  <c r="W32" i="1" s="1"/>
  <c r="Z32" i="1"/>
  <c r="X32" i="1"/>
  <c r="S32" i="1"/>
  <c r="R32" i="1"/>
  <c r="Q32" i="1"/>
  <c r="Z28" i="1"/>
  <c r="Y28" i="1"/>
  <c r="X28" i="1"/>
  <c r="W28" i="1"/>
  <c r="S28" i="1"/>
  <c r="R28" i="1"/>
  <c r="Q28" i="1"/>
  <c r="P28" i="1"/>
  <c r="Z23" i="1"/>
  <c r="Y23" i="1"/>
  <c r="X23" i="1"/>
  <c r="W23" i="1"/>
  <c r="S23" i="1"/>
  <c r="R23" i="1"/>
  <c r="Q23" i="1"/>
  <c r="P23" i="1"/>
  <c r="Z19" i="1"/>
  <c r="Y19" i="1"/>
  <c r="X19" i="1"/>
  <c r="W19" i="1"/>
  <c r="S19" i="1"/>
  <c r="R19" i="1"/>
  <c r="Q19" i="1"/>
  <c r="P19" i="1"/>
  <c r="X11" i="1"/>
  <c r="S11" i="1"/>
  <c r="Z3" i="1"/>
  <c r="Y3" i="1"/>
  <c r="X3" i="1"/>
  <c r="W3" i="1"/>
  <c r="S3" i="1"/>
  <c r="R3" i="1"/>
  <c r="Q3" i="1"/>
  <c r="P3" i="1"/>
  <c r="AC12" i="1" l="1"/>
  <c r="AC3" i="1"/>
  <c r="AA23" i="1"/>
  <c r="AB23" i="1"/>
  <c r="AA32" i="1"/>
  <c r="AB32" i="1"/>
  <c r="AA35" i="1"/>
  <c r="AB35" i="1"/>
  <c r="AA12" i="1"/>
  <c r="AB12" i="1"/>
  <c r="AC19" i="1"/>
  <c r="AC23" i="1"/>
  <c r="AC28" i="1"/>
  <c r="AA19" i="1"/>
  <c r="AB19" i="1"/>
  <c r="AA28" i="1"/>
  <c r="AB28" i="1"/>
  <c r="AA3" i="1"/>
  <c r="AB3" i="1"/>
  <c r="AB11" i="1"/>
  <c r="AC32" i="1"/>
  <c r="AC35" i="1"/>
  <c r="T23" i="1"/>
  <c r="T19" i="1"/>
  <c r="R42" i="1"/>
  <c r="R47" i="1" s="1"/>
  <c r="R50" i="1" s="1"/>
  <c r="V35" i="1"/>
  <c r="U35" i="1"/>
  <c r="T35" i="1"/>
  <c r="V32" i="1"/>
  <c r="U32" i="1"/>
  <c r="V28" i="1"/>
  <c r="U28" i="1"/>
  <c r="T28" i="1"/>
  <c r="V23" i="1"/>
  <c r="U23" i="1"/>
  <c r="V19" i="1"/>
  <c r="U19" i="1"/>
  <c r="U11" i="1"/>
  <c r="V11" i="1"/>
  <c r="U12" i="1"/>
  <c r="V12" i="1"/>
  <c r="U3" i="1"/>
  <c r="V3" i="1"/>
  <c r="Q42" i="1"/>
  <c r="T3" i="1"/>
  <c r="P11" i="1"/>
  <c r="T11" i="1" s="1"/>
  <c r="Z11" i="1"/>
  <c r="AC11" i="1" s="1"/>
  <c r="W11" i="1"/>
  <c r="AA11" i="1" s="1"/>
  <c r="X42" i="1"/>
  <c r="Y42" i="1"/>
  <c r="Y47" i="1" s="1"/>
  <c r="Y50" i="1" s="1"/>
  <c r="S42" i="1"/>
  <c r="P32" i="1"/>
  <c r="T32" i="1" s="1"/>
  <c r="L58" i="1"/>
  <c r="K58" i="1"/>
  <c r="J58" i="1"/>
  <c r="W42" i="1" l="1"/>
  <c r="W47" i="1" s="1"/>
  <c r="W50" i="1" s="1"/>
  <c r="Z42" i="1"/>
  <c r="AB42" i="1"/>
  <c r="U42" i="1"/>
  <c r="V42" i="1"/>
  <c r="Q47" i="1"/>
  <c r="Q50" i="1" s="1"/>
  <c r="P42" i="1"/>
  <c r="T42" i="1" s="1"/>
  <c r="X47" i="1"/>
  <c r="S47" i="1"/>
  <c r="AE43" i="1"/>
  <c r="AA42" i="1" l="1"/>
  <c r="Z47" i="1"/>
  <c r="Z50" i="1" s="1"/>
  <c r="AC42" i="1"/>
  <c r="AB47" i="1"/>
  <c r="AA47" i="1"/>
  <c r="P47" i="1"/>
  <c r="P50" i="1" s="1"/>
  <c r="T50" i="1" s="1"/>
  <c r="U50" i="1"/>
  <c r="V47" i="1"/>
  <c r="U47" i="1"/>
  <c r="X50" i="1"/>
  <c r="S50" i="1"/>
  <c r="V50" i="1" s="1"/>
  <c r="L44" i="1"/>
  <c r="J44" i="1"/>
  <c r="AC47" i="1" l="1"/>
  <c r="AC50" i="1"/>
  <c r="AB50" i="1"/>
  <c r="AA50" i="1"/>
  <c r="T47" i="1"/>
  <c r="J52" i="1"/>
  <c r="L52" i="1" l="1"/>
  <c r="L46" i="1" l="1"/>
  <c r="J46" i="1"/>
  <c r="AF32" i="1" l="1"/>
  <c r="AE32" i="1"/>
  <c r="AD32" i="1"/>
  <c r="AF11" i="1"/>
  <c r="AE11" i="1"/>
  <c r="AD11" i="1"/>
  <c r="AF28" i="1"/>
  <c r="AE28" i="1"/>
  <c r="AD28" i="1"/>
  <c r="AF23" i="1"/>
  <c r="AE23" i="1"/>
  <c r="AD23" i="1"/>
  <c r="AF19" i="1"/>
  <c r="AE19" i="1"/>
  <c r="AD19" i="1"/>
  <c r="AF3" i="1"/>
  <c r="AE3" i="1"/>
  <c r="AD3" i="1"/>
  <c r="AD42" i="1" l="1"/>
  <c r="AD47" i="1" s="1"/>
  <c r="AD50" i="1" s="1"/>
  <c r="AE42" i="1"/>
  <c r="AE47" i="1" s="1"/>
  <c r="AE50" i="1" s="1"/>
  <c r="AF42" i="1"/>
  <c r="AF47" i="1" s="1"/>
  <c r="AF50" i="1" s="1"/>
  <c r="K51" i="1"/>
  <c r="K52" i="1"/>
  <c r="O52" i="1" l="1"/>
  <c r="N52" i="1"/>
  <c r="O51" i="1"/>
  <c r="N51" i="1"/>
  <c r="M51" i="1"/>
  <c r="I52" i="1"/>
  <c r="M52" i="1" s="1"/>
  <c r="O49" i="1"/>
  <c r="N49" i="1"/>
  <c r="M49" i="1"/>
  <c r="O48" i="1"/>
  <c r="N48" i="1"/>
  <c r="M48" i="1"/>
  <c r="O45" i="1"/>
  <c r="N45" i="1"/>
  <c r="M45" i="1"/>
  <c r="O44" i="1"/>
  <c r="N44" i="1"/>
  <c r="M44" i="1"/>
  <c r="O43" i="1"/>
  <c r="N43" i="1"/>
  <c r="M43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4" i="1"/>
  <c r="N34" i="1"/>
  <c r="M34" i="1"/>
  <c r="O33" i="1"/>
  <c r="N33" i="1"/>
  <c r="M33" i="1"/>
  <c r="O31" i="1"/>
  <c r="N31" i="1"/>
  <c r="M31" i="1"/>
  <c r="O30" i="1"/>
  <c r="N30" i="1"/>
  <c r="M30" i="1"/>
  <c r="O29" i="1"/>
  <c r="N29" i="1"/>
  <c r="M29" i="1"/>
  <c r="O27" i="1"/>
  <c r="N27" i="1"/>
  <c r="M27" i="1"/>
  <c r="O26" i="1"/>
  <c r="N26" i="1"/>
  <c r="M26" i="1"/>
  <c r="O25" i="1"/>
  <c r="N25" i="1"/>
  <c r="M25" i="1"/>
  <c r="O24" i="1"/>
  <c r="N24" i="1"/>
  <c r="M24" i="1"/>
  <c r="O22" i="1"/>
  <c r="N22" i="1"/>
  <c r="M22" i="1"/>
  <c r="O21" i="1"/>
  <c r="N21" i="1"/>
  <c r="M21" i="1"/>
  <c r="O20" i="1"/>
  <c r="N20" i="1"/>
  <c r="M20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N6" i="1"/>
  <c r="M6" i="1"/>
  <c r="O5" i="1"/>
  <c r="N5" i="1"/>
  <c r="M5" i="1"/>
  <c r="O4" i="1"/>
  <c r="N4" i="1"/>
  <c r="M4" i="1"/>
  <c r="H49" i="1"/>
  <c r="G49" i="1"/>
  <c r="F49" i="1"/>
  <c r="H48" i="1"/>
  <c r="G48" i="1"/>
  <c r="F48" i="1"/>
  <c r="H46" i="1"/>
  <c r="G46" i="1"/>
  <c r="F46" i="1"/>
  <c r="H45" i="1"/>
  <c r="G45" i="1"/>
  <c r="F45" i="1"/>
  <c r="H44" i="1"/>
  <c r="G44" i="1"/>
  <c r="F44" i="1"/>
  <c r="H43" i="1"/>
  <c r="G43" i="1"/>
  <c r="F43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4" i="1"/>
  <c r="G34" i="1"/>
  <c r="F34" i="1"/>
  <c r="H33" i="1"/>
  <c r="G33" i="1"/>
  <c r="F33" i="1"/>
  <c r="H31" i="1"/>
  <c r="G31" i="1"/>
  <c r="F31" i="1"/>
  <c r="H30" i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2" i="1"/>
  <c r="G22" i="1"/>
  <c r="F22" i="1"/>
  <c r="H21" i="1"/>
  <c r="G21" i="1"/>
  <c r="F21" i="1"/>
  <c r="H20" i="1"/>
  <c r="G20" i="1"/>
  <c r="F20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M46" i="1" l="1"/>
  <c r="N46" i="1"/>
  <c r="O46" i="1"/>
  <c r="R63" i="4"/>
  <c r="AE46" i="4"/>
  <c r="AE45" i="4"/>
  <c r="AE44" i="4"/>
  <c r="AE43" i="4"/>
  <c r="AC35" i="4"/>
  <c r="Z35" i="4"/>
  <c r="Y35" i="4"/>
  <c r="V35" i="4"/>
  <c r="U35" i="4"/>
  <c r="U32" i="4" s="1"/>
  <c r="R35" i="4"/>
  <c r="Q35" i="4"/>
  <c r="N35" i="4"/>
  <c r="M35" i="4"/>
  <c r="M32" i="4" s="1"/>
  <c r="J35" i="4"/>
  <c r="I35" i="4"/>
  <c r="F35" i="4"/>
  <c r="E35" i="4"/>
  <c r="E32" i="4" s="1"/>
  <c r="B35" i="4"/>
  <c r="AB35" i="4"/>
  <c r="AB32" i="4" s="1"/>
  <c r="AA35" i="4"/>
  <c r="X35" i="4"/>
  <c r="X32" i="4" s="1"/>
  <c r="W35" i="4"/>
  <c r="T35" i="4"/>
  <c r="T32" i="4" s="1"/>
  <c r="S35" i="4"/>
  <c r="P35" i="4"/>
  <c r="P32" i="4" s="1"/>
  <c r="O35" i="4"/>
  <c r="L35" i="4"/>
  <c r="L32" i="4" s="1"/>
  <c r="K35" i="4"/>
  <c r="H35" i="4"/>
  <c r="H32" i="4" s="1"/>
  <c r="G35" i="4"/>
  <c r="D35" i="4"/>
  <c r="D32" i="4" s="1"/>
  <c r="C35" i="4"/>
  <c r="AC32" i="4"/>
  <c r="AG34" i="4"/>
  <c r="AG33" i="4"/>
  <c r="AA28" i="4"/>
  <c r="Z28" i="4"/>
  <c r="W28" i="4"/>
  <c r="R28" i="4"/>
  <c r="O28" i="4"/>
  <c r="N28" i="4"/>
  <c r="K28" i="4"/>
  <c r="J28" i="4"/>
  <c r="F28" i="4"/>
  <c r="C28" i="4"/>
  <c r="AG31" i="4"/>
  <c r="U28" i="4"/>
  <c r="T28" i="4"/>
  <c r="P28" i="4"/>
  <c r="E28" i="4"/>
  <c r="AE30" i="4"/>
  <c r="AG30" i="4"/>
  <c r="AC28" i="4"/>
  <c r="AB28" i="4"/>
  <c r="X28" i="4"/>
  <c r="S28" i="4"/>
  <c r="M28" i="4"/>
  <c r="L28" i="4"/>
  <c r="G28" i="4"/>
  <c r="Y28" i="4"/>
  <c r="V28" i="4"/>
  <c r="Q28" i="4"/>
  <c r="I28" i="4"/>
  <c r="H28" i="4"/>
  <c r="D28" i="4"/>
  <c r="AB23" i="4"/>
  <c r="X23" i="4"/>
  <c r="T23" i="4"/>
  <c r="P23" i="4"/>
  <c r="L23" i="4"/>
  <c r="H23" i="4"/>
  <c r="D23" i="4"/>
  <c r="AG27" i="4"/>
  <c r="Z53" i="4"/>
  <c r="Z57" i="4" s="1"/>
  <c r="J53" i="4"/>
  <c r="J57" i="4" s="1"/>
  <c r="AG26" i="4"/>
  <c r="AG25" i="4"/>
  <c r="AC23" i="4"/>
  <c r="Y23" i="4"/>
  <c r="W23" i="4"/>
  <c r="U23" i="4"/>
  <c r="Q23" i="4"/>
  <c r="O23" i="4"/>
  <c r="M23" i="4"/>
  <c r="I23" i="4"/>
  <c r="G23" i="4"/>
  <c r="E23" i="4"/>
  <c r="AG24" i="4"/>
  <c r="AA23" i="4"/>
  <c r="S23" i="4"/>
  <c r="K23" i="4"/>
  <c r="C23" i="4"/>
  <c r="AG22" i="4"/>
  <c r="AA53" i="4"/>
  <c r="AA57" i="4" s="1"/>
  <c r="S53" i="4"/>
  <c r="S57" i="4" s="1"/>
  <c r="K53" i="4"/>
  <c r="AE21" i="4"/>
  <c r="AC19" i="4"/>
  <c r="Z19" i="4"/>
  <c r="Y19" i="4"/>
  <c r="U19" i="4"/>
  <c r="R19" i="4"/>
  <c r="Q19" i="4"/>
  <c r="M19" i="4"/>
  <c r="J19" i="4"/>
  <c r="I19" i="4"/>
  <c r="E19" i="4"/>
  <c r="AG20" i="4"/>
  <c r="AA19" i="4"/>
  <c r="W19" i="4"/>
  <c r="V19" i="4"/>
  <c r="S19" i="4"/>
  <c r="O19" i="4"/>
  <c r="N19" i="4"/>
  <c r="K19" i="4"/>
  <c r="G19" i="4"/>
  <c r="F19" i="4"/>
  <c r="C19" i="4"/>
  <c r="AG18" i="4"/>
  <c r="AC12" i="4"/>
  <c r="AC11" i="4" s="1"/>
  <c r="AB12" i="4"/>
  <c r="AB11" i="4" s="1"/>
  <c r="Y12" i="4"/>
  <c r="Y11" i="4" s="1"/>
  <c r="X12" i="4"/>
  <c r="X11" i="4" s="1"/>
  <c r="U12" i="4"/>
  <c r="U11" i="4" s="1"/>
  <c r="T12" i="4"/>
  <c r="T11" i="4" s="1"/>
  <c r="Q12" i="4"/>
  <c r="Q11" i="4" s="1"/>
  <c r="P12" i="4"/>
  <c r="P11" i="4" s="1"/>
  <c r="M12" i="4"/>
  <c r="M11" i="4" s="1"/>
  <c r="L12" i="4"/>
  <c r="L11" i="4" s="1"/>
  <c r="I12" i="4"/>
  <c r="I11" i="4" s="1"/>
  <c r="H12" i="4"/>
  <c r="H11" i="4" s="1"/>
  <c r="E12" i="4"/>
  <c r="E11" i="4" s="1"/>
  <c r="D12" i="4"/>
  <c r="D11" i="4" s="1"/>
  <c r="AA12" i="4"/>
  <c r="Z12" i="4"/>
  <c r="Z11" i="4" s="1"/>
  <c r="W12" i="4"/>
  <c r="W11" i="4" s="1"/>
  <c r="V12" i="4"/>
  <c r="V11" i="4" s="1"/>
  <c r="S12" i="4"/>
  <c r="R12" i="4"/>
  <c r="R11" i="4" s="1"/>
  <c r="O12" i="4"/>
  <c r="O11" i="4" s="1"/>
  <c r="N12" i="4"/>
  <c r="N11" i="4" s="1"/>
  <c r="K12" i="4"/>
  <c r="J12" i="4"/>
  <c r="J11" i="4" s="1"/>
  <c r="G12" i="4"/>
  <c r="G11" i="4" s="1"/>
  <c r="F12" i="4"/>
  <c r="F11" i="4" s="1"/>
  <c r="C12" i="4"/>
  <c r="B12" i="4"/>
  <c r="B11" i="4" s="1"/>
  <c r="AA11" i="4"/>
  <c r="S11" i="4"/>
  <c r="K11" i="4"/>
  <c r="C11" i="4"/>
  <c r="AE11" i="4" s="1"/>
  <c r="AG10" i="4"/>
  <c r="AE9" i="4"/>
  <c r="AG8" i="4"/>
  <c r="AG7" i="4"/>
  <c r="W3" i="4"/>
  <c r="G3" i="4"/>
  <c r="AE7" i="4"/>
  <c r="AG6" i="4"/>
  <c r="AA3" i="4"/>
  <c r="K3" i="4"/>
  <c r="AG5" i="4"/>
  <c r="AC53" i="4"/>
  <c r="AC57" i="4" s="1"/>
  <c r="Y53" i="4"/>
  <c r="Y57" i="4" s="1"/>
  <c r="V3" i="4"/>
  <c r="U53" i="4"/>
  <c r="U57" i="4" s="1"/>
  <c r="R3" i="4"/>
  <c r="Q53" i="4"/>
  <c r="Q57" i="4" s="1"/>
  <c r="M53" i="4"/>
  <c r="M57" i="4" s="1"/>
  <c r="I53" i="4"/>
  <c r="E53" i="4"/>
  <c r="E57" i="4" s="1"/>
  <c r="AG4" i="4"/>
  <c r="Z3" i="4"/>
  <c r="Y3" i="4"/>
  <c r="S3" i="4"/>
  <c r="O3" i="4"/>
  <c r="N3" i="4"/>
  <c r="J3" i="4"/>
  <c r="I3" i="4"/>
  <c r="C3" i="4"/>
  <c r="T52" i="4" l="1"/>
  <c r="W52" i="4"/>
  <c r="B52" i="4"/>
  <c r="D52" i="4"/>
  <c r="AG35" i="4"/>
  <c r="AE12" i="4"/>
  <c r="L52" i="4"/>
  <c r="AB52" i="4"/>
  <c r="AG12" i="4"/>
  <c r="AE35" i="4"/>
  <c r="O52" i="4"/>
  <c r="N52" i="4"/>
  <c r="G52" i="4"/>
  <c r="X52" i="4"/>
  <c r="H52" i="4"/>
  <c r="P52" i="4"/>
  <c r="K64" i="4"/>
  <c r="K57" i="4"/>
  <c r="K58" i="4" s="1"/>
  <c r="I57" i="4"/>
  <c r="I58" i="4" s="1"/>
  <c r="I61" i="4"/>
  <c r="AE26" i="4"/>
  <c r="F52" i="4"/>
  <c r="V52" i="4"/>
  <c r="J58" i="4"/>
  <c r="Z58" i="4"/>
  <c r="Y64" i="4"/>
  <c r="E3" i="4"/>
  <c r="E42" i="4" s="1"/>
  <c r="E47" i="4" s="1"/>
  <c r="E50" i="4" s="1"/>
  <c r="F53" i="4"/>
  <c r="F57" i="4" s="1"/>
  <c r="F58" i="4" s="1"/>
  <c r="N53" i="4"/>
  <c r="N57" i="4" s="1"/>
  <c r="N58" i="4" s="1"/>
  <c r="AE8" i="4"/>
  <c r="AE20" i="4"/>
  <c r="S58" i="4"/>
  <c r="AA58" i="4"/>
  <c r="F3" i="4"/>
  <c r="Q3" i="4"/>
  <c r="G53" i="4"/>
  <c r="G57" i="4" s="1"/>
  <c r="G58" i="4" s="1"/>
  <c r="O53" i="4"/>
  <c r="O57" i="4" s="1"/>
  <c r="O58" i="4" s="1"/>
  <c r="W53" i="4"/>
  <c r="J52" i="4"/>
  <c r="R52" i="4"/>
  <c r="Z52" i="4"/>
  <c r="AG9" i="4"/>
  <c r="B19" i="4"/>
  <c r="AE19" i="4" s="1"/>
  <c r="AG21" i="4"/>
  <c r="B23" i="4"/>
  <c r="AE23" i="4" s="1"/>
  <c r="F23" i="4"/>
  <c r="J23" i="4"/>
  <c r="N23" i="4"/>
  <c r="R23" i="4"/>
  <c r="V23" i="4"/>
  <c r="Z23" i="4"/>
  <c r="AE24" i="4"/>
  <c r="B28" i="4"/>
  <c r="AE28" i="4" s="1"/>
  <c r="I32" i="4"/>
  <c r="I42" i="4" s="1"/>
  <c r="I47" i="4" s="1"/>
  <c r="I50" i="4" s="1"/>
  <c r="Q32" i="4"/>
  <c r="Y32" i="4"/>
  <c r="Y42" i="4" s="1"/>
  <c r="Y47" i="4" s="1"/>
  <c r="Y50" i="4" s="1"/>
  <c r="B53" i="4"/>
  <c r="R53" i="4"/>
  <c r="R57" i="4" s="1"/>
  <c r="R58" i="4" s="1"/>
  <c r="U3" i="4"/>
  <c r="U42" i="4" s="1"/>
  <c r="U47" i="4" s="1"/>
  <c r="U50" i="4" s="1"/>
  <c r="V53" i="4"/>
  <c r="V57" i="4" s="1"/>
  <c r="V58" i="4" s="1"/>
  <c r="AE4" i="4"/>
  <c r="B3" i="4"/>
  <c r="AE3" i="4" s="1"/>
  <c r="M3" i="4"/>
  <c r="M42" i="4" s="1"/>
  <c r="M47" i="4" s="1"/>
  <c r="M50" i="4" s="1"/>
  <c r="AC3" i="4"/>
  <c r="AC42" i="4" s="1"/>
  <c r="AC47" i="4" s="1"/>
  <c r="AC50" i="4" s="1"/>
  <c r="D53" i="4"/>
  <c r="D3" i="4"/>
  <c r="H53" i="4"/>
  <c r="H57" i="4" s="1"/>
  <c r="H58" i="4" s="1"/>
  <c r="H3" i="4"/>
  <c r="L53" i="4"/>
  <c r="L57" i="4" s="1"/>
  <c r="L58" i="4" s="1"/>
  <c r="L3" i="4"/>
  <c r="P53" i="4"/>
  <c r="P3" i="4"/>
  <c r="T3" i="4"/>
  <c r="X3" i="4"/>
  <c r="AB3" i="4"/>
  <c r="C52" i="4"/>
  <c r="AE5" i="4"/>
  <c r="K52" i="4"/>
  <c r="S52" i="4"/>
  <c r="AA52" i="4"/>
  <c r="AE6" i="4"/>
  <c r="AE10" i="4"/>
  <c r="D19" i="4"/>
  <c r="H19" i="4"/>
  <c r="H42" i="4" s="1"/>
  <c r="H47" i="4" s="1"/>
  <c r="H50" i="4" s="1"/>
  <c r="L19" i="4"/>
  <c r="P19" i="4"/>
  <c r="T19" i="4"/>
  <c r="X19" i="4"/>
  <c r="AB19" i="4"/>
  <c r="AE22" i="4"/>
  <c r="AE31" i="4"/>
  <c r="C53" i="4"/>
  <c r="C57" i="4" s="1"/>
  <c r="C58" i="4" s="1"/>
  <c r="E52" i="4"/>
  <c r="I52" i="4"/>
  <c r="M52" i="4"/>
  <c r="Q52" i="4"/>
  <c r="U52" i="4"/>
  <c r="Y52" i="4"/>
  <c r="AC52" i="4"/>
  <c r="AE18" i="4"/>
  <c r="AE25" i="4"/>
  <c r="AE27" i="4"/>
  <c r="AE33" i="4"/>
  <c r="C32" i="4"/>
  <c r="G32" i="4"/>
  <c r="G42" i="4" s="1"/>
  <c r="G47" i="4" s="1"/>
  <c r="G50" i="4" s="1"/>
  <c r="K32" i="4"/>
  <c r="K42" i="4" s="1"/>
  <c r="K47" i="4" s="1"/>
  <c r="K50" i="4" s="1"/>
  <c r="O32" i="4"/>
  <c r="O42" i="4" s="1"/>
  <c r="O47" i="4" s="1"/>
  <c r="O50" i="4" s="1"/>
  <c r="S32" i="4"/>
  <c r="S42" i="4" s="1"/>
  <c r="S47" i="4" s="1"/>
  <c r="S50" i="4" s="1"/>
  <c r="W32" i="4"/>
  <c r="W42" i="4" s="1"/>
  <c r="W47" i="4" s="1"/>
  <c r="W50" i="4" s="1"/>
  <c r="AA32" i="4"/>
  <c r="AA42" i="4" s="1"/>
  <c r="AA47" i="4" s="1"/>
  <c r="AA50" i="4" s="1"/>
  <c r="AE34" i="4"/>
  <c r="AG41" i="4"/>
  <c r="B32" i="4"/>
  <c r="F32" i="4"/>
  <c r="F42" i="4" s="1"/>
  <c r="F47" i="4" s="1"/>
  <c r="F50" i="4" s="1"/>
  <c r="J32" i="4"/>
  <c r="J42" i="4" s="1"/>
  <c r="J47" i="4" s="1"/>
  <c r="J50" i="4" s="1"/>
  <c r="N32" i="4"/>
  <c r="R32" i="4"/>
  <c r="V32" i="4"/>
  <c r="V42" i="4" s="1"/>
  <c r="V47" i="4" s="1"/>
  <c r="V50" i="4" s="1"/>
  <c r="Z32" i="4"/>
  <c r="Z42" i="4" s="1"/>
  <c r="Z47" i="4" s="1"/>
  <c r="Z50" i="4" s="1"/>
  <c r="AE41" i="4"/>
  <c r="T53" i="4"/>
  <c r="T57" i="4" s="1"/>
  <c r="T58" i="4" s="1"/>
  <c r="X53" i="4"/>
  <c r="X57" i="4" s="1"/>
  <c r="X58" i="4" s="1"/>
  <c r="AB53" i="4"/>
  <c r="AB57" i="4" s="1"/>
  <c r="AB58" i="4" s="1"/>
  <c r="E58" i="4"/>
  <c r="M58" i="4"/>
  <c r="Q58" i="4"/>
  <c r="U58" i="4"/>
  <c r="Y58" i="4"/>
  <c r="AC58" i="4"/>
  <c r="T42" i="4" l="1"/>
  <c r="T47" i="4" s="1"/>
  <c r="T50" i="4" s="1"/>
  <c r="T54" i="4" s="1"/>
  <c r="X42" i="4"/>
  <c r="X47" i="4" s="1"/>
  <c r="X50" i="4" s="1"/>
  <c r="X54" i="4" s="1"/>
  <c r="P42" i="4"/>
  <c r="P47" i="4" s="1"/>
  <c r="P50" i="4" s="1"/>
  <c r="P54" i="4" s="1"/>
  <c r="L42" i="4"/>
  <c r="L47" i="4" s="1"/>
  <c r="L50" i="4" s="1"/>
  <c r="R64" i="4"/>
  <c r="I54" i="4"/>
  <c r="AB42" i="4"/>
  <c r="AB47" i="4" s="1"/>
  <c r="AB50" i="4" s="1"/>
  <c r="AB54" i="4" s="1"/>
  <c r="W54" i="4"/>
  <c r="M54" i="4"/>
  <c r="AA54" i="4"/>
  <c r="D42" i="4"/>
  <c r="D47" i="4" s="1"/>
  <c r="D50" i="4" s="1"/>
  <c r="Q42" i="4"/>
  <c r="Q47" i="4" s="1"/>
  <c r="Q50" i="4" s="1"/>
  <c r="Q54" i="4" s="1"/>
  <c r="AC54" i="4"/>
  <c r="F54" i="4"/>
  <c r="Y54" i="4"/>
  <c r="S54" i="4"/>
  <c r="P61" i="4"/>
  <c r="P57" i="4"/>
  <c r="P58" i="4" s="1"/>
  <c r="H54" i="4"/>
  <c r="J54" i="4"/>
  <c r="R42" i="4"/>
  <c r="R47" i="4" s="1"/>
  <c r="R50" i="4" s="1"/>
  <c r="R54" i="4" s="1"/>
  <c r="B42" i="4"/>
  <c r="U54" i="4"/>
  <c r="E54" i="4"/>
  <c r="K54" i="4"/>
  <c r="L54" i="4"/>
  <c r="O54" i="4"/>
  <c r="N42" i="4"/>
  <c r="N47" i="4" s="1"/>
  <c r="N50" i="4" s="1"/>
  <c r="N54" i="4" s="1"/>
  <c r="AE32" i="4"/>
  <c r="C42" i="4"/>
  <c r="D57" i="4"/>
  <c r="D58" i="4" s="1"/>
  <c r="D64" i="4"/>
  <c r="B61" i="4"/>
  <c r="B57" i="4"/>
  <c r="B58" i="4" s="1"/>
  <c r="Z54" i="4"/>
  <c r="W61" i="4"/>
  <c r="W57" i="4"/>
  <c r="W58" i="4" s="1"/>
  <c r="V54" i="4"/>
  <c r="D54" i="4"/>
  <c r="G54" i="4"/>
  <c r="C47" i="4" l="1"/>
  <c r="AE42" i="4"/>
  <c r="B47" i="4"/>
  <c r="B50" i="4" s="1"/>
  <c r="B54" i="4" s="1"/>
  <c r="AG42" i="4"/>
  <c r="AE47" i="4" l="1"/>
  <c r="C50" i="4"/>
  <c r="AE50" i="4" l="1"/>
  <c r="C54" i="4"/>
  <c r="I35" i="1" l="1"/>
  <c r="C35" i="1"/>
  <c r="K35" i="1"/>
  <c r="L35" i="1"/>
  <c r="D35" i="1"/>
  <c r="G35" i="1" l="1"/>
  <c r="C23" i="1"/>
  <c r="E35" i="1"/>
  <c r="H35" i="1" s="1"/>
  <c r="J35" i="1"/>
  <c r="O35" i="1" s="1"/>
  <c r="I12" i="1"/>
  <c r="B12" i="1"/>
  <c r="B35" i="1"/>
  <c r="F35" i="1" s="1"/>
  <c r="N35" i="1" l="1"/>
  <c r="M35" i="1"/>
  <c r="L32" i="1"/>
  <c r="K32" i="1"/>
  <c r="J32" i="1"/>
  <c r="I32" i="1"/>
  <c r="E32" i="1"/>
  <c r="D32" i="1"/>
  <c r="C32" i="1"/>
  <c r="B32" i="1"/>
  <c r="L28" i="1"/>
  <c r="K28" i="1"/>
  <c r="J28" i="1"/>
  <c r="I28" i="1"/>
  <c r="E28" i="1"/>
  <c r="D28" i="1"/>
  <c r="C28" i="1"/>
  <c r="B28" i="1"/>
  <c r="L23" i="1"/>
  <c r="K23" i="1"/>
  <c r="J23" i="1"/>
  <c r="I23" i="1"/>
  <c r="E23" i="1"/>
  <c r="H23" i="1" s="1"/>
  <c r="D23" i="1"/>
  <c r="G23" i="1" s="1"/>
  <c r="B23" i="1"/>
  <c r="F23" i="1" s="1"/>
  <c r="L19" i="1"/>
  <c r="K19" i="1"/>
  <c r="J19" i="1"/>
  <c r="I19" i="1"/>
  <c r="E19" i="1"/>
  <c r="D19" i="1"/>
  <c r="C19" i="1"/>
  <c r="B19" i="1"/>
  <c r="I11" i="1"/>
  <c r="B11" i="1"/>
  <c r="L3" i="1"/>
  <c r="K3" i="1"/>
  <c r="J3" i="1"/>
  <c r="I3" i="1"/>
  <c r="E3" i="1"/>
  <c r="D3" i="1"/>
  <c r="C3" i="1"/>
  <c r="B3" i="1"/>
  <c r="O23" i="1" l="1"/>
  <c r="H28" i="1"/>
  <c r="O28" i="1"/>
  <c r="H32" i="1"/>
  <c r="O32" i="1"/>
  <c r="H19" i="1"/>
  <c r="O19" i="1"/>
  <c r="F3" i="1"/>
  <c r="G3" i="1"/>
  <c r="N3" i="1"/>
  <c r="M3" i="1"/>
  <c r="N23" i="1"/>
  <c r="M23" i="1"/>
  <c r="G28" i="1"/>
  <c r="F28" i="1"/>
  <c r="N28" i="1"/>
  <c r="M28" i="1"/>
  <c r="G32" i="1"/>
  <c r="F32" i="1"/>
  <c r="N32" i="1"/>
  <c r="M32" i="1"/>
  <c r="H3" i="1"/>
  <c r="O3" i="1"/>
  <c r="G19" i="1"/>
  <c r="F19" i="1"/>
  <c r="N19" i="1"/>
  <c r="M19" i="1"/>
  <c r="B42" i="1"/>
  <c r="I42" i="1"/>
  <c r="E12" i="1" l="1"/>
  <c r="E11" i="1" l="1"/>
  <c r="L12" i="1"/>
  <c r="J12" i="1"/>
  <c r="C12" i="1"/>
  <c r="F12" i="1" l="1"/>
  <c r="J11" i="1"/>
  <c r="M12" i="1"/>
  <c r="L11" i="1"/>
  <c r="O12" i="1"/>
  <c r="H12" i="1"/>
  <c r="E42" i="1"/>
  <c r="C11" i="1"/>
  <c r="F11" i="1" l="1"/>
  <c r="J42" i="1"/>
  <c r="M11" i="1"/>
  <c r="H11" i="1"/>
  <c r="L42" i="1"/>
  <c r="O11" i="1"/>
  <c r="C42" i="1"/>
  <c r="H42" i="1" s="1"/>
  <c r="O42" i="1" l="1"/>
  <c r="M42" i="1"/>
  <c r="F42" i="1"/>
  <c r="K12" i="1"/>
  <c r="N12" i="1" s="1"/>
  <c r="D12" i="1"/>
  <c r="G12" i="1" s="1"/>
  <c r="D11" i="1" l="1"/>
  <c r="K11" i="1"/>
  <c r="K42" i="1" l="1"/>
  <c r="N42" i="1" s="1"/>
  <c r="N11" i="1"/>
  <c r="D42" i="1"/>
  <c r="G42" i="1" s="1"/>
  <c r="G11" i="1"/>
  <c r="I47" i="1"/>
  <c r="I50" i="1" s="1"/>
  <c r="W56" i="1" s="1"/>
  <c r="I53" i="1" l="1"/>
  <c r="I54" i="1"/>
  <c r="I63" i="1"/>
  <c r="K47" i="1"/>
  <c r="K50" i="1" s="1"/>
  <c r="Y56" i="1" s="1"/>
  <c r="K53" i="1" l="1"/>
  <c r="K54" i="1"/>
  <c r="K63" i="1"/>
  <c r="C47" i="1"/>
  <c r="C50" i="1" l="1"/>
  <c r="E47" i="1"/>
  <c r="E50" i="1" l="1"/>
  <c r="H50" i="1" s="1"/>
  <c r="H47" i="1"/>
  <c r="J47" i="1"/>
  <c r="J50" i="1" l="1"/>
  <c r="X56" i="1" s="1"/>
  <c r="N47" i="1"/>
  <c r="M47" i="1"/>
  <c r="L47" i="1"/>
  <c r="J54" i="1" l="1"/>
  <c r="J63" i="1"/>
  <c r="M50" i="1"/>
  <c r="J53" i="1"/>
  <c r="N50" i="1"/>
  <c r="L50" i="1"/>
  <c r="Z56" i="1" s="1"/>
  <c r="O47" i="1"/>
  <c r="D47" i="1"/>
  <c r="N54" i="1" l="1"/>
  <c r="M54" i="1"/>
  <c r="L54" i="1"/>
  <c r="O54" i="1" s="1"/>
  <c r="L63" i="1"/>
  <c r="O50" i="1"/>
  <c r="L53" i="1"/>
  <c r="D50" i="1"/>
  <c r="G50" i="1" s="1"/>
  <c r="G47" i="1"/>
  <c r="M53" i="1"/>
  <c r="N53" i="1"/>
  <c r="B47" i="1"/>
  <c r="F47" i="1" s="1"/>
  <c r="O53" i="1" l="1"/>
  <c r="B50" i="1"/>
  <c r="F50" i="1" s="1"/>
</calcChain>
</file>

<file path=xl/comments1.xml><?xml version="1.0" encoding="utf-8"?>
<comments xmlns="http://schemas.openxmlformats.org/spreadsheetml/2006/main">
  <authors>
    <author>Palmero Mangado, Virginia</author>
  </authors>
  <commentList>
    <comment ref="AE44" authorId="0">
      <text>
        <r>
          <rPr>
            <b/>
            <sz val="9"/>
            <color indexed="81"/>
            <rFont val="Tahoma"/>
            <family val="2"/>
          </rPr>
          <t>Venta inmuebles Silla y Garibay</t>
        </r>
      </text>
    </comment>
  </commentList>
</comments>
</file>

<file path=xl/comments2.xml><?xml version="1.0" encoding="utf-8"?>
<comments xmlns="http://schemas.openxmlformats.org/spreadsheetml/2006/main">
  <authors>
    <author>Palmero Mangado, Virginia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CONTAC CENTER
EMERGENCIAS
FITEX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FMV
MLV
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Palmero Mangado, Virginia: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<sst xmlns="http://schemas.openxmlformats.org/spreadsheetml/2006/main" count="193" uniqueCount="83">
  <si>
    <t>VENTAS</t>
  </si>
  <si>
    <t>RESULTADO DE EXPLOTACIÓN</t>
  </si>
  <si>
    <t>RESULTADO FINANCIERO</t>
  </si>
  <si>
    <t>RESULTADO ANTES DE IMPUESTOS</t>
  </si>
  <si>
    <t>Real 14</t>
  </si>
  <si>
    <t>Est. 15</t>
  </si>
  <si>
    <t>Ppto. 15</t>
  </si>
  <si>
    <t>Ppto. 16</t>
  </si>
  <si>
    <t>PE. 17</t>
  </si>
  <si>
    <t>PE. 18</t>
  </si>
  <si>
    <t>PE. 19</t>
  </si>
  <si>
    <t>DIVISIÓN DE SERVICIOS</t>
  </si>
  <si>
    <t>ILUNION FACILITY SERVICES</t>
  </si>
  <si>
    <t>ILUNION CONTAC CENTER</t>
  </si>
  <si>
    <t>ILUNION BPO</t>
  </si>
  <si>
    <t>ILUNION AUTOMOCIÓN (FMV al 50%)</t>
  </si>
  <si>
    <t>ILUNION SERVICIOS INDUSTRIALES</t>
  </si>
  <si>
    <t>ILUNION RECICLADOS</t>
  </si>
  <si>
    <t>ILUNION GESTIÓN DE CENTROS DEPORTIVOS</t>
  </si>
  <si>
    <t>DIVISIÓN HOTELERA Y HOSPITALARIA</t>
  </si>
  <si>
    <t>ILUNION LAVANDERÍAS</t>
  </si>
  <si>
    <t>- ILUNION Lavanderías Agregado con eliminaciones</t>
  </si>
  <si>
    <t>- Eliminación participación 50% (-)</t>
  </si>
  <si>
    <t>- ILUNION Textil</t>
  </si>
  <si>
    <t>- Ajuste</t>
  </si>
  <si>
    <t>- ILUNION Esterilización</t>
  </si>
  <si>
    <t>ILUNION HOTELS</t>
  </si>
  <si>
    <t>DIVISIÓN SOCIOSANITARIA</t>
  </si>
  <si>
    <t>ILUNION SOCIOSANITARIO</t>
  </si>
  <si>
    <t>ILUNION FISIOTERAPIA Y SALUD</t>
  </si>
  <si>
    <t>ILUNION SALUD</t>
  </si>
  <si>
    <t>DIVISIÓN DE COMERCIALIZACIÓN</t>
  </si>
  <si>
    <t>ILUNION RETAIL</t>
  </si>
  <si>
    <t>ILUNION VIAJES</t>
  </si>
  <si>
    <t>ILUNION CORREDURÍA DE SEGUROS</t>
  </si>
  <si>
    <t>ILUNION IBERICOS SIERRA DE AZUAGA</t>
  </si>
  <si>
    <t>DIVISIÓN DE CONSULTORÍA</t>
  </si>
  <si>
    <t>ILUNION CAPITAL HUMANO</t>
  </si>
  <si>
    <t>ILUNION ESTUDIOS Y PROYECTOS DE ACCESIBILIDAD</t>
  </si>
  <si>
    <t>SERVIMEDIA</t>
  </si>
  <si>
    <t>OTROS</t>
  </si>
  <si>
    <t>ONCISA</t>
  </si>
  <si>
    <t>PRIMUR</t>
  </si>
  <si>
    <t>- GESSER</t>
  </si>
  <si>
    <t>- BE ON DIVERSITY (al 50%)</t>
  </si>
  <si>
    <t>- COMERCIALIZADORA</t>
  </si>
  <si>
    <t>- FULPRESA</t>
  </si>
  <si>
    <t>- FSC</t>
  </si>
  <si>
    <t>CSC</t>
  </si>
  <si>
    <t>TOTAL ACTIVIDAD AGREGADA</t>
  </si>
  <si>
    <t>CABECERA</t>
  </si>
  <si>
    <t>TOTAL AGREGADO</t>
  </si>
  <si>
    <t>AJUSTES PERÍMETRO</t>
  </si>
  <si>
    <t>AJUSTES INTERGRUPOS</t>
  </si>
  <si>
    <t>TOTAL CONSOLIDADO</t>
  </si>
  <si>
    <t>AJUSTES GRUPO ILUNION</t>
  </si>
  <si>
    <t>AJUSTES CEOSA</t>
  </si>
  <si>
    <t>CENTRO CORPORATIVO</t>
  </si>
  <si>
    <t>Miles de euros</t>
  </si>
  <si>
    <t>G. Ilunion</t>
  </si>
  <si>
    <t>Ceosa</t>
  </si>
  <si>
    <t>Cuadre 1 Ceosa:</t>
  </si>
  <si>
    <t>Cuadre con CCAA Ceosa:</t>
  </si>
  <si>
    <t>Cuadre con ppto,'15 Ceosa:</t>
  </si>
  <si>
    <t>RESULTADO EMPRESAS PARTICIPADAS</t>
  </si>
  <si>
    <t>Est./año ant.</t>
  </si>
  <si>
    <t>Est./Pto. 2015</t>
  </si>
  <si>
    <t>Pto. 2016/Est.</t>
  </si>
  <si>
    <t>INVERSIONES</t>
  </si>
  <si>
    <t>ILUNION GESTIÓN DE ESPACIOS DEPORTIVOS</t>
  </si>
  <si>
    <t>ILUNION IBERICOS DE AZUAGA</t>
  </si>
  <si>
    <t>ILUNION ACCESIBILIDAD, ESTUDIOS Y PROYECTOS</t>
  </si>
  <si>
    <t>AMORTIZACIÓN CEOSA</t>
  </si>
  <si>
    <t>AMORTIZACIÓN FUNDOSA</t>
  </si>
  <si>
    <t>Amortización agregada</t>
  </si>
  <si>
    <t>Amortización FMV+Be on Diversity</t>
  </si>
  <si>
    <t>Amortización Lavanderías 50%</t>
  </si>
  <si>
    <t>EBITDA</t>
  </si>
  <si>
    <t>RESULTADO DE EXPLOTACIÓN SIN ATÍPICOS</t>
  </si>
  <si>
    <t>RESULTADO ANTES DE IMPUESTOS SIN PARTICIPADAS</t>
  </si>
  <si>
    <t>PLANTILLA MEDIA TOTAL</t>
  </si>
  <si>
    <t>PLANTILLA MEDIA AFILIADOS</t>
  </si>
  <si>
    <t>PLANTILLA MEDIA TOTAL CON DISCAP.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</si>
</sst>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"/>
    <numFmt numFmtId="166" formatCode="#,##0;\ \(#,##0\);\-?????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2"/>
      <color indexed="9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6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7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Fill="1" applyBorder="1"/>
    <xf numFmtId="3" fontId="0" fillId="0" borderId="9" xfId="0" applyNumberFormat="1" applyFill="1" applyBorder="1"/>
    <xf numFmtId="3" fontId="5" fillId="0" borderId="10" xfId="0" applyNumberFormat="1" applyFon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3" fontId="5" fillId="0" borderId="10" xfId="0" applyNumberFormat="1" applyFont="1" applyFill="1" applyBorder="1" applyAlignment="1">
      <alignment horizontal="left" indent="1"/>
    </xf>
    <xf numFmtId="3" fontId="0" fillId="0" borderId="13" xfId="0" applyNumberFormat="1" applyFill="1" applyBorder="1"/>
    <xf numFmtId="3" fontId="5" fillId="0" borderId="10" xfId="0" quotePrefix="1" applyNumberFormat="1" applyFont="1" applyFill="1" applyBorder="1" applyAlignment="1">
      <alignment horizontal="left" indent="1"/>
    </xf>
    <xf numFmtId="3" fontId="0" fillId="0" borderId="14" xfId="0" applyNumberFormat="1" applyFill="1" applyBorder="1"/>
    <xf numFmtId="3" fontId="5" fillId="0" borderId="15" xfId="0" quotePrefix="1" applyNumberFormat="1" applyFont="1" applyFill="1" applyBorder="1" applyAlignment="1">
      <alignment horizontal="left" indent="1"/>
    </xf>
    <xf numFmtId="3" fontId="5" fillId="0" borderId="16" xfId="0" applyNumberFormat="1" applyFon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5" fillId="0" borderId="19" xfId="0" applyNumberFormat="1" applyFont="1" applyFill="1" applyBorder="1"/>
    <xf numFmtId="3" fontId="0" fillId="0" borderId="20" xfId="0" applyNumberFormat="1" applyFill="1" applyBorder="1"/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8" fillId="0" borderId="0" xfId="0" applyFont="1"/>
    <xf numFmtId="3" fontId="0" fillId="0" borderId="21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3" fontId="0" fillId="5" borderId="14" xfId="0" applyNumberFormat="1" applyFill="1" applyBorder="1"/>
    <xf numFmtId="3" fontId="0" fillId="5" borderId="20" xfId="0" applyNumberFormat="1" applyFill="1" applyBorder="1"/>
    <xf numFmtId="3" fontId="0" fillId="4" borderId="14" xfId="0" applyNumberFormat="1" applyFill="1" applyBorder="1"/>
    <xf numFmtId="0" fontId="0" fillId="0" borderId="0" xfId="0" applyFill="1"/>
    <xf numFmtId="3" fontId="0" fillId="0" borderId="0" xfId="0" applyNumberFormat="1" applyFill="1"/>
    <xf numFmtId="3" fontId="9" fillId="0" borderId="17" xfId="0" applyNumberFormat="1" applyFont="1" applyFill="1" applyBorder="1"/>
    <xf numFmtId="3" fontId="5" fillId="0" borderId="14" xfId="0" applyNumberFormat="1" applyFont="1" applyFill="1" applyBorder="1"/>
    <xf numFmtId="3" fontId="5" fillId="0" borderId="23" xfId="0" applyNumberFormat="1" applyFont="1" applyFill="1" applyBorder="1"/>
    <xf numFmtId="3" fontId="5" fillId="0" borderId="24" xfId="0" applyNumberFormat="1" applyFont="1" applyFill="1" applyBorder="1"/>
    <xf numFmtId="9" fontId="0" fillId="0" borderId="0" xfId="1" applyFont="1"/>
    <xf numFmtId="0" fontId="12" fillId="0" borderId="0" xfId="0" applyFont="1"/>
    <xf numFmtId="0" fontId="13" fillId="0" borderId="0" xfId="0" applyFont="1"/>
    <xf numFmtId="3" fontId="0" fillId="6" borderId="12" xfId="0" applyNumberFormat="1" applyFill="1" applyBorder="1"/>
    <xf numFmtId="3" fontId="5" fillId="0" borderId="21" xfId="0" applyNumberFormat="1" applyFont="1" applyFill="1" applyBorder="1"/>
    <xf numFmtId="3" fontId="5" fillId="0" borderId="17" xfId="0" applyNumberFormat="1" applyFont="1" applyFill="1" applyBorder="1"/>
    <xf numFmtId="3" fontId="5" fillId="5" borderId="14" xfId="0" applyNumberFormat="1" applyFont="1" applyFill="1" applyBorder="1"/>
    <xf numFmtId="3" fontId="0" fillId="6" borderId="17" xfId="0" applyNumberFormat="1" applyFill="1" applyBorder="1"/>
    <xf numFmtId="3" fontId="11" fillId="6" borderId="17" xfId="0" applyNumberFormat="1" applyFont="1" applyFill="1" applyBorder="1"/>
    <xf numFmtId="164" fontId="0" fillId="0" borderId="17" xfId="1" applyNumberFormat="1" applyFont="1" applyFill="1" applyBorder="1"/>
    <xf numFmtId="3" fontId="0" fillId="5" borderId="0" xfId="0" applyNumberFormat="1" applyFill="1"/>
    <xf numFmtId="3" fontId="9" fillId="4" borderId="17" xfId="0" applyNumberFormat="1" applyFont="1" applyFill="1" applyBorder="1"/>
    <xf numFmtId="3" fontId="5" fillId="0" borderId="11" xfId="0" applyNumberFormat="1" applyFont="1" applyFill="1" applyBorder="1"/>
    <xf numFmtId="0" fontId="5" fillId="0" borderId="19" xfId="0" applyFont="1" applyBorder="1"/>
    <xf numFmtId="164" fontId="4" fillId="2" borderId="5" xfId="1" applyNumberFormat="1" applyFont="1" applyFill="1" applyBorder="1" applyAlignment="1">
      <alignment horizontal="right" vertical="center" wrapText="1"/>
    </xf>
    <xf numFmtId="164" fontId="4" fillId="2" borderId="6" xfId="1" applyNumberFormat="1" applyFont="1" applyFill="1" applyBorder="1" applyAlignment="1">
      <alignment horizontal="right" vertical="center" wrapText="1"/>
    </xf>
    <xf numFmtId="9" fontId="4" fillId="2" borderId="5" xfId="1" applyNumberFormat="1" applyFont="1" applyFill="1" applyBorder="1" applyAlignment="1">
      <alignment horizontal="right" vertical="center" wrapText="1"/>
    </xf>
    <xf numFmtId="164" fontId="0" fillId="0" borderId="21" xfId="1" applyNumberFormat="1" applyFont="1" applyFill="1" applyBorder="1" applyAlignment="1">
      <alignment horizontal="right"/>
    </xf>
    <xf numFmtId="164" fontId="0" fillId="0" borderId="22" xfId="1" applyNumberFormat="1" applyFont="1" applyFill="1" applyBorder="1" applyAlignment="1">
      <alignment horizontal="right"/>
    </xf>
    <xf numFmtId="164" fontId="0" fillId="0" borderId="17" xfId="1" applyNumberFormat="1" applyFont="1" applyFill="1" applyBorder="1" applyAlignment="1">
      <alignment horizontal="right"/>
    </xf>
    <xf numFmtId="164" fontId="0" fillId="0" borderId="18" xfId="1" applyNumberFormat="1" applyFont="1" applyFill="1" applyBorder="1" applyAlignment="1">
      <alignment horizontal="right"/>
    </xf>
    <xf numFmtId="164" fontId="0" fillId="0" borderId="23" xfId="1" applyNumberFormat="1" applyFont="1" applyFill="1" applyBorder="1" applyAlignment="1">
      <alignment horizontal="right"/>
    </xf>
    <xf numFmtId="164" fontId="0" fillId="0" borderId="24" xfId="1" applyNumberFormat="1" applyFont="1" applyFill="1" applyBorder="1" applyAlignment="1">
      <alignment horizontal="right"/>
    </xf>
    <xf numFmtId="164" fontId="0" fillId="0" borderId="14" xfId="1" applyNumberFormat="1" applyFont="1" applyFill="1" applyBorder="1" applyAlignment="1">
      <alignment horizontal="right"/>
    </xf>
    <xf numFmtId="164" fontId="0" fillId="0" borderId="20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right"/>
    </xf>
    <xf numFmtId="164" fontId="5" fillId="0" borderId="18" xfId="1" applyNumberFormat="1" applyFont="1" applyFill="1" applyBorder="1" applyAlignment="1">
      <alignment horizontal="right"/>
    </xf>
    <xf numFmtId="164" fontId="5" fillId="0" borderId="23" xfId="1" applyNumberFormat="1" applyFont="1" applyFill="1" applyBorder="1" applyAlignment="1">
      <alignment horizontal="right"/>
    </xf>
    <xf numFmtId="164" fontId="5" fillId="0" borderId="24" xfId="1" applyNumberFormat="1" applyFont="1" applyFill="1" applyBorder="1" applyAlignment="1">
      <alignment horizontal="right"/>
    </xf>
    <xf numFmtId="165" fontId="0" fillId="0" borderId="0" xfId="0" applyNumberFormat="1"/>
    <xf numFmtId="3" fontId="5" fillId="0" borderId="17" xfId="0" applyNumberFormat="1" applyFont="1" applyFill="1" applyBorder="1" applyAlignment="1">
      <alignment horizontal="right"/>
    </xf>
    <xf numFmtId="9" fontId="5" fillId="0" borderId="17" xfId="0" applyNumberFormat="1" applyFont="1" applyFill="1" applyBorder="1" applyAlignment="1">
      <alignment horizontal="right"/>
    </xf>
    <xf numFmtId="3" fontId="0" fillId="6" borderId="11" xfId="0" applyNumberFormat="1" applyFill="1" applyBorder="1"/>
    <xf numFmtId="3" fontId="0" fillId="6" borderId="13" xfId="0" applyNumberFormat="1" applyFill="1" applyBorder="1"/>
    <xf numFmtId="3" fontId="0" fillId="6" borderId="14" xfId="0" applyNumberFormat="1" applyFill="1" applyBorder="1"/>
    <xf numFmtId="164" fontId="0" fillId="6" borderId="17" xfId="1" applyNumberFormat="1" applyFont="1" applyFill="1" applyBorder="1" applyAlignment="1">
      <alignment horizontal="right"/>
    </xf>
    <xf numFmtId="164" fontId="0" fillId="6" borderId="18" xfId="1" applyNumberFormat="1" applyFont="1" applyFill="1" applyBorder="1" applyAlignment="1">
      <alignment horizontal="right"/>
    </xf>
    <xf numFmtId="164" fontId="0" fillId="6" borderId="14" xfId="1" applyNumberFormat="1" applyFont="1" applyFill="1" applyBorder="1" applyAlignment="1">
      <alignment horizontal="right"/>
    </xf>
    <xf numFmtId="164" fontId="0" fillId="6" borderId="20" xfId="1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1" fillId="2" borderId="27" xfId="0" applyFont="1" applyFill="1" applyBorder="1" applyAlignment="1">
      <alignment horizontal="center" vertical="center" wrapText="1"/>
    </xf>
    <xf numFmtId="3" fontId="5" fillId="0" borderId="18" xfId="0" applyNumberFormat="1" applyFont="1" applyFill="1" applyBorder="1"/>
    <xf numFmtId="3" fontId="0" fillId="6" borderId="18" xfId="0" applyNumberFormat="1" applyFill="1" applyBorder="1"/>
    <xf numFmtId="3" fontId="0" fillId="6" borderId="20" xfId="0" applyNumberFormat="1" applyFill="1" applyBorder="1"/>
    <xf numFmtId="3" fontId="5" fillId="0" borderId="12" xfId="0" applyNumberFormat="1" applyFont="1" applyFill="1" applyBorder="1"/>
    <xf numFmtId="3" fontId="5" fillId="0" borderId="9" xfId="0" applyNumberFormat="1" applyFont="1" applyFill="1" applyBorder="1"/>
    <xf numFmtId="3" fontId="5" fillId="0" borderId="21" xfId="0" applyNumberFormat="1" applyFont="1" applyFill="1" applyBorder="1" applyAlignment="1">
      <alignment horizontal="right"/>
    </xf>
    <xf numFmtId="9" fontId="5" fillId="0" borderId="21" xfId="1" applyNumberFormat="1" applyFont="1" applyFill="1" applyBorder="1" applyAlignment="1">
      <alignment horizontal="right"/>
    </xf>
    <xf numFmtId="9" fontId="5" fillId="0" borderId="22" xfId="1" applyNumberFormat="1" applyFont="1" applyFill="1" applyBorder="1" applyAlignment="1">
      <alignment horizontal="right"/>
    </xf>
    <xf numFmtId="9" fontId="5" fillId="0" borderId="18" xfId="0" applyNumberFormat="1" applyFont="1" applyFill="1" applyBorder="1" applyAlignment="1">
      <alignment horizontal="right"/>
    </xf>
    <xf numFmtId="9" fontId="4" fillId="2" borderId="6" xfId="1" applyNumberFormat="1" applyFont="1" applyFill="1" applyBorder="1" applyAlignment="1">
      <alignment horizontal="right" vertical="center" wrapText="1"/>
    </xf>
    <xf numFmtId="3" fontId="0" fillId="7" borderId="13" xfId="0" applyNumberFormat="1" applyFill="1" applyBorder="1"/>
    <xf numFmtId="3" fontId="5" fillId="7" borderId="14" xfId="0" applyNumberFormat="1" applyFont="1" applyFill="1" applyBorder="1"/>
    <xf numFmtId="3" fontId="0" fillId="7" borderId="14" xfId="0" applyNumberFormat="1" applyFill="1" applyBorder="1"/>
    <xf numFmtId="164" fontId="0" fillId="7" borderId="14" xfId="1" applyNumberFormat="1" applyFont="1" applyFill="1" applyBorder="1" applyAlignment="1">
      <alignment horizontal="right"/>
    </xf>
    <xf numFmtId="164" fontId="0" fillId="7" borderId="20" xfId="1" applyNumberFormat="1" applyFont="1" applyFill="1" applyBorder="1" applyAlignment="1">
      <alignment horizontal="right"/>
    </xf>
    <xf numFmtId="3" fontId="0" fillId="7" borderId="20" xfId="0" applyNumberFormat="1" applyFill="1" applyBorder="1"/>
    <xf numFmtId="3" fontId="11" fillId="7" borderId="11" xfId="0" applyNumberFormat="1" applyFont="1" applyFill="1" applyBorder="1"/>
    <xf numFmtId="3" fontId="11" fillId="7" borderId="18" xfId="0" applyNumberFormat="1" applyFont="1" applyFill="1" applyBorder="1"/>
    <xf numFmtId="3" fontId="5" fillId="7" borderId="11" xfId="0" applyNumberFormat="1" applyFont="1" applyFill="1" applyBorder="1"/>
    <xf numFmtId="3" fontId="5" fillId="7" borderId="17" xfId="0" applyNumberFormat="1" applyFont="1" applyFill="1" applyBorder="1"/>
    <xf numFmtId="3" fontId="5" fillId="7" borderId="18" xfId="0" applyNumberFormat="1" applyFont="1" applyFill="1" applyBorder="1"/>
    <xf numFmtId="3" fontId="11" fillId="7" borderId="12" xfId="0" applyNumberFormat="1" applyFont="1" applyFill="1" applyBorder="1"/>
    <xf numFmtId="3" fontId="11" fillId="7" borderId="23" xfId="0" applyNumberFormat="1" applyFont="1" applyFill="1" applyBorder="1"/>
    <xf numFmtId="3" fontId="11" fillId="7" borderId="24" xfId="0" applyNumberFormat="1" applyFont="1" applyFill="1" applyBorder="1"/>
    <xf numFmtId="3" fontId="0" fillId="7" borderId="11" xfId="0" applyNumberFormat="1" applyFill="1" applyBorder="1"/>
    <xf numFmtId="3" fontId="0" fillId="7" borderId="17" xfId="0" applyNumberFormat="1" applyFill="1" applyBorder="1"/>
    <xf numFmtId="3" fontId="0" fillId="7" borderId="18" xfId="0" applyNumberFormat="1" applyFill="1" applyBorder="1"/>
    <xf numFmtId="3" fontId="12" fillId="8" borderId="29" xfId="0" applyNumberFormat="1" applyFont="1" applyFill="1" applyBorder="1"/>
    <xf numFmtId="3" fontId="12" fillId="9" borderId="29" xfId="0" applyNumberFormat="1" applyFont="1" applyFill="1" applyBorder="1"/>
    <xf numFmtId="3" fontId="0" fillId="5" borderId="29" xfId="0" applyNumberFormat="1" applyFill="1" applyBorder="1"/>
    <xf numFmtId="3" fontId="0" fillId="0" borderId="0" xfId="0" applyNumberFormat="1" applyFont="1"/>
    <xf numFmtId="3" fontId="11" fillId="5" borderId="29" xfId="0" applyNumberFormat="1" applyFont="1" applyFill="1" applyBorder="1"/>
    <xf numFmtId="3" fontId="13" fillId="8" borderId="29" xfId="0" applyNumberFormat="1" applyFont="1" applyFill="1" applyBorder="1"/>
    <xf numFmtId="3" fontId="5" fillId="5" borderId="29" xfId="0" applyNumberFormat="1" applyFont="1" applyFill="1" applyBorder="1"/>
    <xf numFmtId="3" fontId="13" fillId="9" borderId="29" xfId="0" applyNumberFormat="1" applyFont="1" applyFill="1" applyBorder="1"/>
    <xf numFmtId="3" fontId="12" fillId="0" borderId="0" xfId="0" applyNumberFormat="1" applyFont="1"/>
    <xf numFmtId="3" fontId="13" fillId="0" borderId="0" xfId="0" applyNumberFormat="1" applyFont="1"/>
    <xf numFmtId="9" fontId="5" fillId="0" borderId="0" xfId="1" applyNumberFormat="1" applyFont="1" applyFill="1" applyBorder="1" applyAlignment="1">
      <alignment horizontal="right"/>
    </xf>
    <xf numFmtId="9" fontId="5" fillId="0" borderId="0" xfId="0" applyNumberFormat="1" applyFont="1" applyFill="1" applyBorder="1" applyAlignment="1">
      <alignment horizontal="right"/>
    </xf>
    <xf numFmtId="3" fontId="12" fillId="8" borderId="0" xfId="0" applyNumberFormat="1" applyFont="1" applyFill="1" applyBorder="1"/>
    <xf numFmtId="3" fontId="12" fillId="9" borderId="0" xfId="0" applyNumberFormat="1" applyFont="1" applyFill="1" applyBorder="1"/>
    <xf numFmtId="3" fontId="0" fillId="5" borderId="0" xfId="0" applyNumberFormat="1" applyFill="1" applyBorder="1"/>
    <xf numFmtId="0" fontId="1" fillId="2" borderId="30" xfId="0" applyFont="1" applyFill="1" applyBorder="1" applyAlignment="1">
      <alignment horizontal="center" vertical="center" wrapText="1"/>
    </xf>
    <xf numFmtId="3" fontId="11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13" xfId="0" applyNumberFormat="1" applyFill="1" applyBorder="1"/>
    <xf numFmtId="4" fontId="0" fillId="0" borderId="14" xfId="0" applyNumberFormat="1" applyFill="1" applyBorder="1"/>
    <xf numFmtId="4" fontId="4" fillId="2" borderId="4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0" fillId="0" borderId="9" xfId="0" applyNumberFormat="1" applyFill="1" applyBorder="1"/>
    <xf numFmtId="4" fontId="0" fillId="0" borderId="21" xfId="0" applyNumberFormat="1" applyFill="1" applyBorder="1"/>
    <xf numFmtId="4" fontId="0" fillId="0" borderId="22" xfId="0" applyNumberFormat="1" applyFill="1" applyBorder="1"/>
    <xf numFmtId="4" fontId="0" fillId="0" borderId="11" xfId="0" applyNumberFormat="1" applyFill="1" applyBorder="1"/>
    <xf numFmtId="4" fontId="0" fillId="0" borderId="17" xfId="0" applyNumberFormat="1" applyFill="1" applyBorder="1"/>
    <xf numFmtId="4" fontId="0" fillId="0" borderId="18" xfId="0" applyNumberFormat="1" applyFill="1" applyBorder="1"/>
    <xf numFmtId="4" fontId="0" fillId="7" borderId="11" xfId="0" applyNumberFormat="1" applyFill="1" applyBorder="1"/>
    <xf numFmtId="4" fontId="0" fillId="7" borderId="17" xfId="0" applyNumberFormat="1" applyFill="1" applyBorder="1"/>
    <xf numFmtId="4" fontId="0" fillId="7" borderId="18" xfId="0" applyNumberFormat="1" applyFill="1" applyBorder="1"/>
    <xf numFmtId="4" fontId="0" fillId="0" borderId="20" xfId="0" applyNumberFormat="1" applyFill="1" applyBorder="1"/>
    <xf numFmtId="4" fontId="0" fillId="7" borderId="13" xfId="0" applyNumberFormat="1" applyFill="1" applyBorder="1"/>
    <xf numFmtId="4" fontId="0" fillId="7" borderId="14" xfId="0" applyNumberFormat="1" applyFill="1" applyBorder="1"/>
    <xf numFmtId="4" fontId="0" fillId="7" borderId="20" xfId="0" applyNumberFormat="1" applyFill="1" applyBorder="1"/>
    <xf numFmtId="4" fontId="0" fillId="0" borderId="12" xfId="0" applyNumberFormat="1" applyFill="1" applyBorder="1"/>
    <xf numFmtId="4" fontId="0" fillId="0" borderId="23" xfId="0" applyNumberFormat="1" applyFill="1" applyBorder="1"/>
    <xf numFmtId="4" fontId="0" fillId="0" borderId="24" xfId="0" applyNumberFormat="1" applyFill="1" applyBorder="1"/>
    <xf numFmtId="4" fontId="5" fillId="0" borderId="11" xfId="0" applyNumberFormat="1" applyFont="1" applyFill="1" applyBorder="1"/>
    <xf numFmtId="4" fontId="5" fillId="0" borderId="17" xfId="0" applyNumberFormat="1" applyFont="1" applyFill="1" applyBorder="1"/>
    <xf numFmtId="4" fontId="5" fillId="0" borderId="18" xfId="0" applyNumberFormat="1" applyFont="1" applyFill="1" applyBorder="1"/>
    <xf numFmtId="4" fontId="5" fillId="0" borderId="12" xfId="0" applyNumberFormat="1" applyFont="1" applyFill="1" applyBorder="1"/>
    <xf numFmtId="4" fontId="5" fillId="0" borderId="23" xfId="0" applyNumberFormat="1" applyFont="1" applyFill="1" applyBorder="1"/>
    <xf numFmtId="4" fontId="5" fillId="0" borderId="24" xfId="0" applyNumberFormat="1" applyFont="1" applyFill="1" applyBorder="1"/>
    <xf numFmtId="4" fontId="5" fillId="7" borderId="18" xfId="0" applyNumberFormat="1" applyFont="1" applyFill="1" applyBorder="1"/>
    <xf numFmtId="4" fontId="11" fillId="7" borderId="11" xfId="0" applyNumberFormat="1" applyFont="1" applyFill="1" applyBorder="1"/>
    <xf numFmtId="4" fontId="5" fillId="7" borderId="17" xfId="0" applyNumberFormat="1" applyFont="1" applyFill="1" applyBorder="1"/>
    <xf numFmtId="4" fontId="11" fillId="7" borderId="18" xfId="0" applyNumberFormat="1" applyFont="1" applyFill="1" applyBorder="1"/>
    <xf numFmtId="4" fontId="11" fillId="7" borderId="12" xfId="0" applyNumberFormat="1" applyFont="1" applyFill="1" applyBorder="1"/>
    <xf numFmtId="4" fontId="11" fillId="7" borderId="23" xfId="0" applyNumberFormat="1" applyFont="1" applyFill="1" applyBorder="1"/>
    <xf numFmtId="4" fontId="11" fillId="7" borderId="24" xfId="0" applyNumberFormat="1" applyFont="1" applyFill="1" applyBorder="1"/>
    <xf numFmtId="4" fontId="0" fillId="6" borderId="11" xfId="0" applyNumberFormat="1" applyFill="1" applyBorder="1"/>
    <xf numFmtId="4" fontId="0" fillId="6" borderId="17" xfId="0" applyNumberFormat="1" applyFill="1" applyBorder="1"/>
    <xf numFmtId="4" fontId="0" fillId="6" borderId="18" xfId="0" applyNumberFormat="1" applyFill="1" applyBorder="1"/>
    <xf numFmtId="4" fontId="0" fillId="6" borderId="13" xfId="0" applyNumberFormat="1" applyFill="1" applyBorder="1"/>
    <xf numFmtId="4" fontId="0" fillId="6" borderId="14" xfId="0" applyNumberFormat="1" applyFill="1" applyBorder="1"/>
    <xf numFmtId="4" fontId="0" fillId="6" borderId="20" xfId="0" applyNumberFormat="1" applyFill="1" applyBorder="1"/>
    <xf numFmtId="4" fontId="0" fillId="0" borderId="0" xfId="0" applyNumberFormat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O69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4" x14ac:dyDescent="0.3"/>
  <cols>
    <col min="1" max="1" width="55.88671875" style="24" customWidth="1"/>
    <col min="2" max="11" width="11.5546875" customWidth="1"/>
    <col min="16" max="16" width="13.109375" bestFit="1" customWidth="1"/>
    <col min="17" max="17" width="12.33203125" bestFit="1" customWidth="1"/>
    <col min="19" max="19" width="12.33203125" bestFit="1" customWidth="1"/>
    <col min="33" max="35" width="12.33203125" bestFit="1" customWidth="1"/>
    <col min="36" max="38" width="16" customWidth="1"/>
  </cols>
  <sheetData>
    <row r="1" spans="1:41" ht="18.600000000000001" thickBot="1" x14ac:dyDescent="0.4">
      <c r="A1"/>
      <c r="B1" s="171" t="s">
        <v>0</v>
      </c>
      <c r="C1" s="172"/>
      <c r="D1" s="172"/>
      <c r="E1" s="172"/>
      <c r="F1" s="172"/>
      <c r="G1" s="172"/>
      <c r="H1" s="173"/>
      <c r="I1" s="171" t="s">
        <v>1</v>
      </c>
      <c r="J1" s="172"/>
      <c r="K1" s="172"/>
      <c r="L1" s="172"/>
      <c r="M1" s="172"/>
      <c r="N1" s="172"/>
      <c r="O1" s="173"/>
      <c r="P1" s="172" t="s">
        <v>78</v>
      </c>
      <c r="Q1" s="172"/>
      <c r="R1" s="172"/>
      <c r="S1" s="172"/>
      <c r="T1" s="172"/>
      <c r="U1" s="172"/>
      <c r="V1" s="172"/>
      <c r="W1" s="171" t="s">
        <v>79</v>
      </c>
      <c r="X1" s="172"/>
      <c r="Y1" s="172"/>
      <c r="Z1" s="172"/>
      <c r="AA1" s="172"/>
      <c r="AB1" s="172"/>
      <c r="AC1" s="172"/>
      <c r="AD1" s="168" t="s">
        <v>68</v>
      </c>
      <c r="AE1" s="169"/>
      <c r="AF1" s="170"/>
      <c r="AG1" s="168" t="s">
        <v>80</v>
      </c>
      <c r="AH1" s="169"/>
      <c r="AI1" s="170"/>
      <c r="AJ1" s="168" t="s">
        <v>82</v>
      </c>
      <c r="AK1" s="169"/>
      <c r="AL1" s="170"/>
      <c r="AM1" s="168" t="s">
        <v>81</v>
      </c>
      <c r="AN1" s="169"/>
      <c r="AO1" s="170"/>
    </row>
    <row r="2" spans="1:41" ht="29.4" thickBot="1" x14ac:dyDescent="0.35">
      <c r="A2" s="26" t="s">
        <v>58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65</v>
      </c>
      <c r="G2" s="2" t="s">
        <v>66</v>
      </c>
      <c r="H2" s="3" t="s">
        <v>67</v>
      </c>
      <c r="I2" s="1" t="s">
        <v>4</v>
      </c>
      <c r="J2" s="2" t="s">
        <v>5</v>
      </c>
      <c r="K2" s="2" t="s">
        <v>6</v>
      </c>
      <c r="L2" s="2" t="s">
        <v>7</v>
      </c>
      <c r="M2" s="2" t="s">
        <v>65</v>
      </c>
      <c r="N2" s="2" t="s">
        <v>66</v>
      </c>
      <c r="O2" s="3" t="s">
        <v>67</v>
      </c>
      <c r="P2" s="123" t="s">
        <v>4</v>
      </c>
      <c r="Q2" s="2" t="s">
        <v>5</v>
      </c>
      <c r="R2" s="2" t="s">
        <v>6</v>
      </c>
      <c r="S2" s="2" t="s">
        <v>7</v>
      </c>
      <c r="T2" s="2" t="s">
        <v>65</v>
      </c>
      <c r="U2" s="2" t="s">
        <v>66</v>
      </c>
      <c r="V2" s="80" t="s">
        <v>67</v>
      </c>
      <c r="W2" s="1" t="s">
        <v>4</v>
      </c>
      <c r="X2" s="2" t="s">
        <v>5</v>
      </c>
      <c r="Y2" s="2" t="s">
        <v>6</v>
      </c>
      <c r="Z2" s="2" t="s">
        <v>7</v>
      </c>
      <c r="AA2" s="2" t="s">
        <v>65</v>
      </c>
      <c r="AB2" s="2" t="s">
        <v>66</v>
      </c>
      <c r="AC2" s="80" t="s">
        <v>67</v>
      </c>
      <c r="AD2" s="1" t="s">
        <v>5</v>
      </c>
      <c r="AE2" s="2" t="s">
        <v>6</v>
      </c>
      <c r="AF2" s="3" t="s">
        <v>7</v>
      </c>
      <c r="AG2" s="1" t="s">
        <v>4</v>
      </c>
      <c r="AH2" s="2" t="s">
        <v>5</v>
      </c>
      <c r="AI2" s="3" t="s">
        <v>7</v>
      </c>
      <c r="AJ2" s="1" t="s">
        <v>4</v>
      </c>
      <c r="AK2" s="2" t="s">
        <v>5</v>
      </c>
      <c r="AL2" s="3" t="s">
        <v>7</v>
      </c>
      <c r="AM2" s="1" t="s">
        <v>4</v>
      </c>
      <c r="AN2" s="2" t="s">
        <v>5</v>
      </c>
      <c r="AO2" s="3" t="s">
        <v>7</v>
      </c>
    </row>
    <row r="3" spans="1:41" ht="16.2" thickBot="1" x14ac:dyDescent="0.35">
      <c r="A3" s="4" t="s">
        <v>11</v>
      </c>
      <c r="B3" s="5">
        <f>SUM(B4:B10)</f>
        <v>432099.97583000007</v>
      </c>
      <c r="C3" s="6">
        <f t="shared" ref="C3:E3" si="0">SUM(C4:C10)</f>
        <v>445971.85947178554</v>
      </c>
      <c r="D3" s="6">
        <f>SUM(D4:D10)</f>
        <v>434691.61016566661</v>
      </c>
      <c r="E3" s="6">
        <f t="shared" si="0"/>
        <v>441205.2377224511</v>
      </c>
      <c r="F3" s="54">
        <f>IF(OR(C3=0,B3=0),"N/A",C3/B3-1)</f>
        <v>3.2103412214128602E-2</v>
      </c>
      <c r="G3" s="54">
        <f>IF(OR(C3=0,D3=0),"N/A",C3/D3-1)</f>
        <v>2.5950004652309344E-2</v>
      </c>
      <c r="H3" s="55">
        <f>IF(OR(E3=0,C3=0),"N/A",E3/C3-1)</f>
        <v>-1.0688167085205924E-2</v>
      </c>
      <c r="I3" s="5">
        <f>SUM(I4:I10)</f>
        <v>4063.7038400000033</v>
      </c>
      <c r="J3" s="6">
        <f t="shared" ref="J3:L3" si="1">SUM(J4:J10)</f>
        <v>5252.3926361807153</v>
      </c>
      <c r="K3" s="6">
        <f t="shared" si="1"/>
        <v>2978.3815277551003</v>
      </c>
      <c r="L3" s="6">
        <f t="shared" si="1"/>
        <v>7214.3545971195217</v>
      </c>
      <c r="M3" s="54">
        <f>IF(OR(J3=0,I3=0),"N/A",IF(OR(AND(J3&gt;0,I3&gt;0),AND(J3&lt;0,I3&gt;0)),J3/I3-1,-(J3/I3-1)))</f>
        <v>0.29251363853836132</v>
      </c>
      <c r="N3" s="54">
        <f>IF(OR(J3=0,K3=0),"N/A",IF(OR(AND(J3&gt;0,K3&gt;0),AND(J3&lt;0,K3&gt;0)),J3/K3-1,-(J3/K3-1)))</f>
        <v>0.76350564467125492</v>
      </c>
      <c r="O3" s="55">
        <f>IF(OR(L3=0,J3=0),"N/A",IF(OR(AND(L3&gt;0,J3&gt;0),AND(L3&lt;0,J3&gt;0)),L3/J3-1,-(L3/J3-1)))</f>
        <v>0.37353680443156101</v>
      </c>
      <c r="P3" s="5">
        <f>SUM(P4:P10)</f>
        <v>4079.3733329411771</v>
      </c>
      <c r="Q3" s="6">
        <f t="shared" ref="Q3:S3" si="2">SUM(Q4:Q10)</f>
        <v>7180.4791847521437</v>
      </c>
      <c r="R3" s="6">
        <f t="shared" si="2"/>
        <v>6217.4516230188055</v>
      </c>
      <c r="S3" s="6">
        <f t="shared" si="2"/>
        <v>9141.3545971195217</v>
      </c>
      <c r="T3" s="54">
        <f>IF(OR(Q3=0,P3=0),"N/A",IF(OR(AND(Q3&gt;0,P3&gt;0),AND(Q3&lt;0,P3&gt;0)),Q3/P3-1,-(Q3/P3-1)))</f>
        <v>0.76019172522636169</v>
      </c>
      <c r="U3" s="54">
        <f>IF(OR(Q3=0,R3=0),"N/A",IF(OR(AND(Q3&gt;0,R3&gt;0),AND(Q3&lt;0,R3&gt;0)),Q3/R3-1,-(Q3/R3-1)))</f>
        <v>0.15489104220255312</v>
      </c>
      <c r="V3" s="55">
        <f>IF(OR(S3=0,Q3=0),"N/A",IF(OR(AND(S3&gt;0,Q3&gt;0),AND(S3&lt;0,Q3&gt;0)),S3/Q3-1,-(S3/Q3-1)))</f>
        <v>0.27308419980261567</v>
      </c>
      <c r="W3" s="5">
        <f>SUM(W4:W10)</f>
        <v>2248.8098000000027</v>
      </c>
      <c r="X3" s="6">
        <f t="shared" ref="X3:Z3" si="3">SUM(X4:X10)</f>
        <v>4368.4062228226394</v>
      </c>
      <c r="Y3" s="6">
        <f t="shared" si="3"/>
        <v>230.25182775580015</v>
      </c>
      <c r="Z3" s="6">
        <f t="shared" si="3"/>
        <v>6085.7723691937263</v>
      </c>
      <c r="AA3" s="54">
        <f>IF(OR(X3=0,W3=0),"N/A",IF(OR(AND(X3&gt;0,W3&gt;0),AND(X3&lt;0,W3&gt;0)),X3/W3-1,-(X3/W3-1)))</f>
        <v>0.94254143806320756</v>
      </c>
      <c r="AB3" s="54">
        <f>IF(OR(X3=0,Y3=0),"N/A",IF(OR(AND(X3&gt;0,Y3&gt;0),AND(X3&lt;0,Y3&gt;0)),X3/Y3-1,-(X3/Y3-1)))</f>
        <v>17.972297702911924</v>
      </c>
      <c r="AC3" s="55">
        <f>IF(OR(Z3=0,X3=0),"N/A",IF(OR(AND(Z3&gt;0,X3&gt;0),AND(Z3&lt;0,X3&gt;0)),Z3/X3-1,-(Z3/X3-1)))</f>
        <v>0.39313334400970912</v>
      </c>
      <c r="AD3" s="5">
        <f t="shared" ref="AD3:AF3" si="4">SUM(AD4:AD10)</f>
        <v>3901.074595</v>
      </c>
      <c r="AE3" s="6">
        <f t="shared" si="4"/>
        <v>4336.375</v>
      </c>
      <c r="AF3" s="7">
        <f t="shared" si="4"/>
        <v>2756.3180000000002</v>
      </c>
      <c r="AG3" s="129">
        <f t="shared" ref="AG3:AI3" si="5">SUM(AG4:AG10)</f>
        <v>16592.130994520543</v>
      </c>
      <c r="AH3" s="130">
        <f t="shared" ref="AH3" si="6">SUM(AH4:AH10)</f>
        <v>17478.616120911556</v>
      </c>
      <c r="AI3" s="131">
        <f t="shared" si="5"/>
        <v>17177.912713214522</v>
      </c>
      <c r="AJ3" s="129">
        <f t="shared" ref="AJ3:AL3" si="7">SUM(AJ4:AJ10)</f>
        <v>4172.0831643835609</v>
      </c>
      <c r="AK3" s="130">
        <f t="shared" si="7"/>
        <v>4898.631484529853</v>
      </c>
      <c r="AL3" s="131">
        <f t="shared" si="7"/>
        <v>5251.9654166666669</v>
      </c>
      <c r="AM3" s="129">
        <f t="shared" ref="AM3:AO3" si="8">SUM(AM4:AM10)</f>
        <v>98.42150684931508</v>
      </c>
      <c r="AN3" s="130">
        <f t="shared" si="8"/>
        <v>95.391666666666666</v>
      </c>
      <c r="AO3" s="131">
        <f t="shared" si="8"/>
        <v>106.74000000000001</v>
      </c>
    </row>
    <row r="4" spans="1:41" ht="15" x14ac:dyDescent="0.25">
      <c r="A4" s="8" t="s">
        <v>12</v>
      </c>
      <c r="B4" s="9">
        <v>329200</v>
      </c>
      <c r="C4" s="44">
        <v>331520</v>
      </c>
      <c r="D4" s="27">
        <v>337724</v>
      </c>
      <c r="E4" s="27">
        <v>327296</v>
      </c>
      <c r="F4" s="57">
        <f t="shared" ref="F4:F50" si="9">IF(OR(C4=0,B4=0),"N/A",C4/B4-1)</f>
        <v>7.0473876063184004E-3</v>
      </c>
      <c r="G4" s="57">
        <f t="shared" ref="G4:G50" si="10">IF(OR(C4=0,D4=0),"N/A",C4/D4-1)</f>
        <v>-1.837002996529713E-2</v>
      </c>
      <c r="H4" s="58">
        <f t="shared" ref="H4:H50" si="11">IF(OR(E4=0,C4=0),"N/A",E4/C4-1)</f>
        <v>-1.2741312741312738E-2</v>
      </c>
      <c r="I4" s="9">
        <v>1519</v>
      </c>
      <c r="J4" s="27">
        <v>451</v>
      </c>
      <c r="K4" s="27">
        <v>2301</v>
      </c>
      <c r="L4" s="27">
        <v>2514</v>
      </c>
      <c r="M4" s="57">
        <f t="shared" ref="M4:M50" si="12">IF(OR(J4=0,I4=0),"N/A",IF(OR(AND(J4&gt;0,I4&gt;0),AND(J4&lt;0,I4&gt;0)),J4/I4-1,-(J4/I4-1)))</f>
        <v>-0.70309414088215938</v>
      </c>
      <c r="N4" s="57">
        <f t="shared" ref="N4:N50" si="13">IF(OR(J4=0,K4=0),"N/A",IF(OR(AND(J4&gt;0,K4&gt;0),AND(J4&lt;0,K4&gt;0)),J4/K4-1,-(J4/K4-1)))</f>
        <v>-0.80399826162538024</v>
      </c>
      <c r="O4" s="58">
        <f t="shared" ref="O4:O50" si="14">IF(OR(L4=0,J4=0),"N/A",IF(OR(AND(L4&gt;0,J4&gt;0),AND(L4&lt;0,J4&gt;0)),L4/J4-1,-(L4/J4-1)))</f>
        <v>4.5742793791574279</v>
      </c>
      <c r="P4" s="9">
        <v>823.5629429411772</v>
      </c>
      <c r="Q4" s="27">
        <v>2691</v>
      </c>
      <c r="R4" s="27">
        <v>5726</v>
      </c>
      <c r="S4" s="27">
        <v>4411</v>
      </c>
      <c r="T4" s="57">
        <f t="shared" ref="T4:T50" si="15">IF(OR(Q4=0,P4=0),"N/A",IF(OR(AND(Q4&gt;0,P4&gt;0),AND(Q4&lt;0,P4&gt;0)),Q4/P4-1,-(Q4/P4-1)))</f>
        <v>2.2675098158128324</v>
      </c>
      <c r="U4" s="57">
        <f t="shared" ref="U4:U50" si="16">IF(OR(Q4=0,R4=0),"N/A",IF(OR(AND(Q4&gt;0,R4&gt;0),AND(Q4&lt;0,R4&gt;0)),Q4/R4-1,-(Q4/R4-1)))</f>
        <v>-0.53003842123646527</v>
      </c>
      <c r="V4" s="58">
        <f t="shared" ref="V4:V50" si="17">IF(OR(S4=0,Q4=0),"N/A",IF(OR(AND(S4&gt;0,Q4&gt;0),AND(S4&lt;0,Q4&gt;0)),S4/Q4-1,-(S4/Q4-1)))</f>
        <v>0.63916759568933479</v>
      </c>
      <c r="W4" s="9">
        <v>-189</v>
      </c>
      <c r="X4" s="27">
        <v>-441</v>
      </c>
      <c r="Y4" s="27">
        <v>37</v>
      </c>
      <c r="Z4" s="27">
        <v>1336</v>
      </c>
      <c r="AA4" s="57">
        <f t="shared" ref="AA4:AA50" si="18">IF(OR(X4=0,W4=0),"N/A",IF(OR(AND(X4&gt;0,W4&gt;0),AND(X4&lt;0,W4&gt;0)),X4/W4-1,-(X4/W4-1)))</f>
        <v>-1.3333333333333335</v>
      </c>
      <c r="AB4" s="57">
        <f t="shared" ref="AB4:AB50" si="19">IF(OR(X4=0,Y4=0),"N/A",IF(OR(AND(X4&gt;0,Y4&gt;0),AND(X4&lt;0,Y4&gt;0)),X4/Y4-1,-(X4/Y4-1)))</f>
        <v>-12.918918918918919</v>
      </c>
      <c r="AC4" s="58">
        <f t="shared" ref="AC4:AC50" si="20">IF(OR(Z4=0,X4=0),"N/A",IF(OR(AND(Z4&gt;0,X4&gt;0),AND(Z4&lt;0,X4&gt;0)),Z4/X4-1,-(Z4/X4-1)))</f>
        <v>4.029478458049887</v>
      </c>
      <c r="AD4" s="9">
        <v>684.66193999999996</v>
      </c>
      <c r="AE4" s="27">
        <v>1182</v>
      </c>
      <c r="AF4" s="28">
        <v>1348</v>
      </c>
      <c r="AG4" s="132">
        <v>12594.114794520547</v>
      </c>
      <c r="AH4" s="133">
        <v>12684</v>
      </c>
      <c r="AI4" s="134">
        <v>12152</v>
      </c>
      <c r="AJ4" s="132">
        <v>1880.7621643835616</v>
      </c>
      <c r="AK4" s="133">
        <v>1992</v>
      </c>
      <c r="AL4" s="134">
        <v>2123</v>
      </c>
      <c r="AM4" s="132">
        <v>47.411506849315074</v>
      </c>
      <c r="AN4" s="133">
        <v>50</v>
      </c>
      <c r="AO4" s="134">
        <v>55</v>
      </c>
    </row>
    <row r="5" spans="1:41" ht="15" x14ac:dyDescent="0.25">
      <c r="A5" s="10" t="s">
        <v>13</v>
      </c>
      <c r="B5" s="11">
        <v>47765.74669</v>
      </c>
      <c r="C5" s="45">
        <v>50231.444661785601</v>
      </c>
      <c r="D5" s="19">
        <v>46422.000085666608</v>
      </c>
      <c r="E5" s="19">
        <v>51419.401184851144</v>
      </c>
      <c r="F5" s="59">
        <f t="shared" si="9"/>
        <v>5.1620630737503115E-2</v>
      </c>
      <c r="G5" s="59">
        <f t="shared" si="10"/>
        <v>8.2061190148832175E-2</v>
      </c>
      <c r="H5" s="60">
        <f t="shared" si="11"/>
        <v>2.364965871605329E-2</v>
      </c>
      <c r="I5" s="11">
        <v>3123.7444200000023</v>
      </c>
      <c r="J5" s="19">
        <v>2383.0774066009458</v>
      </c>
      <c r="K5" s="19">
        <v>1630.9582482321034</v>
      </c>
      <c r="L5" s="19">
        <v>2196.7562471816786</v>
      </c>
      <c r="M5" s="59">
        <f t="shared" si="12"/>
        <v>-0.23710871115347398</v>
      </c>
      <c r="N5" s="59">
        <f t="shared" si="13"/>
        <v>0.46115169360350627</v>
      </c>
      <c r="O5" s="60">
        <f t="shared" si="14"/>
        <v>-7.8185105906829366E-2</v>
      </c>
      <c r="P5" s="11">
        <v>3662.2489799999998</v>
      </c>
      <c r="Q5" s="19">
        <v>2383.0774066009458</v>
      </c>
      <c r="R5" s="19">
        <v>1130.9582196955587</v>
      </c>
      <c r="S5" s="19">
        <v>2196.7562471816786</v>
      </c>
      <c r="T5" s="59">
        <f t="shared" si="15"/>
        <v>-0.34928580235390061</v>
      </c>
      <c r="U5" s="59">
        <f t="shared" si="16"/>
        <v>1.1071312495013683</v>
      </c>
      <c r="V5" s="60">
        <f t="shared" si="17"/>
        <v>-7.8185105906829366E-2</v>
      </c>
      <c r="W5" s="11">
        <v>3624.8533700000021</v>
      </c>
      <c r="X5" s="19">
        <v>2774.3040235045532</v>
      </c>
      <c r="Y5" s="19">
        <v>2094.9452782325034</v>
      </c>
      <c r="Z5" s="19">
        <v>2795.6051479480334</v>
      </c>
      <c r="AA5" s="59">
        <f t="shared" si="18"/>
        <v>-0.23464379374204825</v>
      </c>
      <c r="AB5" s="59">
        <f t="shared" si="19"/>
        <v>0.32428472110031525</v>
      </c>
      <c r="AC5" s="60">
        <f t="shared" si="20"/>
        <v>7.6780065425461341E-3</v>
      </c>
      <c r="AD5" s="11">
        <v>481.36876500000005</v>
      </c>
      <c r="AE5" s="19">
        <v>531.375</v>
      </c>
      <c r="AF5" s="20">
        <v>338.375</v>
      </c>
      <c r="AG5" s="135">
        <v>1915.8917999999999</v>
      </c>
      <c r="AH5" s="136">
        <v>2064.5128261150389</v>
      </c>
      <c r="AI5" s="137">
        <v>2109.231313208456</v>
      </c>
      <c r="AJ5" s="135">
        <v>550.43139999999994</v>
      </c>
      <c r="AK5" s="136">
        <v>548.80833333333339</v>
      </c>
      <c r="AL5" s="137">
        <v>573.74374999999998</v>
      </c>
      <c r="AM5" s="135">
        <v>35.425499999999992</v>
      </c>
      <c r="AN5" s="136">
        <v>37.391666666666666</v>
      </c>
      <c r="AO5" s="137">
        <v>43.74</v>
      </c>
    </row>
    <row r="6" spans="1:41" ht="15" x14ac:dyDescent="0.25">
      <c r="A6" s="10" t="s">
        <v>14</v>
      </c>
      <c r="B6" s="11">
        <v>22879.624230000001</v>
      </c>
      <c r="C6" s="45">
        <v>18597.061999999998</v>
      </c>
      <c r="D6" s="19">
        <v>16926.502119999997</v>
      </c>
      <c r="E6" s="19">
        <v>15017.608999999999</v>
      </c>
      <c r="F6" s="59">
        <f t="shared" si="9"/>
        <v>-0.18717799676030789</v>
      </c>
      <c r="G6" s="59">
        <f t="shared" si="10"/>
        <v>9.8694926344297773E-2</v>
      </c>
      <c r="H6" s="60">
        <f t="shared" si="11"/>
        <v>-0.1924741123087077</v>
      </c>
      <c r="I6" s="11">
        <v>114.56808000000272</v>
      </c>
      <c r="J6" s="19">
        <v>-273.46618000000495</v>
      </c>
      <c r="K6" s="19">
        <v>-364.25569000000257</v>
      </c>
      <c r="L6" s="19">
        <v>-445.2708004000001</v>
      </c>
      <c r="M6" s="59">
        <f t="shared" si="12"/>
        <v>-3.3869316828910674</v>
      </c>
      <c r="N6" s="59">
        <f t="shared" si="13"/>
        <v>0.2492466486933862</v>
      </c>
      <c r="O6" s="60">
        <f t="shared" si="14"/>
        <v>-0.62824814534649964</v>
      </c>
      <c r="P6" s="11">
        <v>94.632689999999997</v>
      </c>
      <c r="Q6" s="19">
        <v>-623.4661800000049</v>
      </c>
      <c r="R6" s="19">
        <v>-364.25580412999852</v>
      </c>
      <c r="S6" s="19">
        <v>-445.2708004000001</v>
      </c>
      <c r="T6" s="59">
        <f t="shared" si="15"/>
        <v>-7.588274939664136</v>
      </c>
      <c r="U6" s="59">
        <f t="shared" si="16"/>
        <v>-0.71161632273537445</v>
      </c>
      <c r="V6" s="60">
        <f t="shared" si="17"/>
        <v>0.28581402699341829</v>
      </c>
      <c r="W6" s="11">
        <v>139.1276900000027</v>
      </c>
      <c r="X6" s="19">
        <v>-257.40205226568833</v>
      </c>
      <c r="Y6" s="19">
        <v>-364.25569000000257</v>
      </c>
      <c r="Z6" s="19">
        <v>-470.25339728529042</v>
      </c>
      <c r="AA6" s="59">
        <f t="shared" si="18"/>
        <v>-2.8501137499349216</v>
      </c>
      <c r="AB6" s="59">
        <f t="shared" si="19"/>
        <v>0.29334788904550402</v>
      </c>
      <c r="AC6" s="60">
        <f t="shared" si="20"/>
        <v>-0.82692170923291108</v>
      </c>
      <c r="AD6" s="11">
        <v>307.06218000000001</v>
      </c>
      <c r="AE6" s="19">
        <v>138</v>
      </c>
      <c r="AF6" s="20">
        <v>239.94300000000001</v>
      </c>
      <c r="AG6" s="135">
        <v>505.79289999999992</v>
      </c>
      <c r="AH6" s="136">
        <v>449.97500000000002</v>
      </c>
      <c r="AI6" s="137">
        <v>362.90223333940025</v>
      </c>
      <c r="AJ6" s="135">
        <v>297.30039999999997</v>
      </c>
      <c r="AK6" s="136">
        <v>272.43</v>
      </c>
      <c r="AL6" s="137">
        <v>226.93</v>
      </c>
      <c r="AM6" s="135">
        <v>6.7679999999999998</v>
      </c>
      <c r="AN6" s="136">
        <v>5</v>
      </c>
      <c r="AO6" s="137">
        <v>5</v>
      </c>
    </row>
    <row r="7" spans="1:41" x14ac:dyDescent="0.3">
      <c r="A7" s="10" t="s">
        <v>15</v>
      </c>
      <c r="B7" s="11">
        <v>12311.57173</v>
      </c>
      <c r="C7" s="45">
        <v>20278.74136</v>
      </c>
      <c r="D7" s="19">
        <v>13248.125</v>
      </c>
      <c r="E7" s="19">
        <v>19950</v>
      </c>
      <c r="F7" s="59">
        <f t="shared" si="9"/>
        <v>0.64712855553496418</v>
      </c>
      <c r="G7" s="59">
        <f t="shared" si="10"/>
        <v>0.53068765278105401</v>
      </c>
      <c r="H7" s="60">
        <f t="shared" si="11"/>
        <v>-1.6211132346134915E-2</v>
      </c>
      <c r="I7" s="11">
        <v>1164.2396899999967</v>
      </c>
      <c r="J7" s="19">
        <v>3004.3890700000034</v>
      </c>
      <c r="K7" s="19">
        <v>686.5400949999979</v>
      </c>
      <c r="L7" s="19">
        <v>2722.3891666666664</v>
      </c>
      <c r="M7" s="59">
        <f t="shared" si="12"/>
        <v>1.5805588795894874</v>
      </c>
      <c r="N7" s="59">
        <f t="shared" si="13"/>
        <v>3.3761305302933726</v>
      </c>
      <c r="O7" s="60">
        <f t="shared" si="14"/>
        <v>-9.3862644538690421E-2</v>
      </c>
      <c r="P7" s="11">
        <v>1178.35725</v>
      </c>
      <c r="Q7" s="19">
        <v>3003.5068985714315</v>
      </c>
      <c r="R7" s="19">
        <v>700.61035095238174</v>
      </c>
      <c r="S7" s="19">
        <v>2722.3891666666664</v>
      </c>
      <c r="T7" s="59">
        <f t="shared" si="15"/>
        <v>1.5488932991853122</v>
      </c>
      <c r="U7" s="59">
        <f t="shared" si="16"/>
        <v>3.2869861892399737</v>
      </c>
      <c r="V7" s="60">
        <f t="shared" si="17"/>
        <v>-9.3596499491469198E-2</v>
      </c>
      <c r="W7" s="11">
        <v>1019.9068199999966</v>
      </c>
      <c r="X7" s="19">
        <v>2904.6070220040033</v>
      </c>
      <c r="Y7" s="19">
        <v>418.2331349999979</v>
      </c>
      <c r="Z7" s="19">
        <v>2621.1130348598058</v>
      </c>
      <c r="AA7" s="59">
        <f t="shared" si="18"/>
        <v>1.8479141084712158</v>
      </c>
      <c r="AB7" s="59">
        <f t="shared" si="19"/>
        <v>5.9449471572930674</v>
      </c>
      <c r="AC7" s="60">
        <f t="shared" si="20"/>
        <v>-9.7601494796567656E-2</v>
      </c>
      <c r="AD7" s="11">
        <v>1200</v>
      </c>
      <c r="AE7" s="19">
        <v>1500</v>
      </c>
      <c r="AF7" s="20">
        <v>300</v>
      </c>
      <c r="AG7" s="135">
        <v>693.04259999999999</v>
      </c>
      <c r="AH7" s="136">
        <v>903.5</v>
      </c>
      <c r="AI7" s="137">
        <v>909</v>
      </c>
      <c r="AJ7" s="135">
        <v>634.0412</v>
      </c>
      <c r="AK7" s="136">
        <v>818.33</v>
      </c>
      <c r="AL7" s="137">
        <v>816</v>
      </c>
      <c r="AM7" s="135">
        <v>0.92869999999999997</v>
      </c>
      <c r="AN7" s="136">
        <v>0</v>
      </c>
      <c r="AO7" s="137">
        <v>0</v>
      </c>
    </row>
    <row r="8" spans="1:41" ht="15" x14ac:dyDescent="0.25">
      <c r="A8" s="10" t="s">
        <v>16</v>
      </c>
      <c r="B8" s="11">
        <v>11677.867660000002</v>
      </c>
      <c r="C8" s="45">
        <v>17999.06151</v>
      </c>
      <c r="D8" s="19">
        <v>12721.1937</v>
      </c>
      <c r="E8" s="19">
        <v>20035.632000000001</v>
      </c>
      <c r="F8" s="59">
        <f t="shared" si="9"/>
        <v>0.54129692457912282</v>
      </c>
      <c r="G8" s="59">
        <f t="shared" si="10"/>
        <v>0.41488777975293312</v>
      </c>
      <c r="H8" s="60">
        <f t="shared" si="11"/>
        <v>0.11314870438486557</v>
      </c>
      <c r="I8" s="11">
        <v>311.25893000000059</v>
      </c>
      <c r="J8" s="19">
        <v>773.71149999999795</v>
      </c>
      <c r="K8" s="19">
        <v>427.88880452520186</v>
      </c>
      <c r="L8" s="19">
        <v>1134.6849999999999</v>
      </c>
      <c r="M8" s="59">
        <f t="shared" si="12"/>
        <v>1.4857487622925274</v>
      </c>
      <c r="N8" s="59">
        <f t="shared" si="13"/>
        <v>0.80820692623292922</v>
      </c>
      <c r="O8" s="60">
        <f t="shared" si="14"/>
        <v>0.46654793162568087</v>
      </c>
      <c r="P8" s="11">
        <v>327.55203</v>
      </c>
      <c r="Q8" s="19">
        <v>780.32264999999791</v>
      </c>
      <c r="R8" s="19">
        <v>427.88879243347628</v>
      </c>
      <c r="S8" s="19">
        <v>1134.6849999999999</v>
      </c>
      <c r="T8" s="59">
        <f t="shared" si="15"/>
        <v>1.3822861058134732</v>
      </c>
      <c r="U8" s="59">
        <f t="shared" si="16"/>
        <v>0.82365760402877197</v>
      </c>
      <c r="V8" s="60">
        <f t="shared" si="17"/>
        <v>0.45412285546242059</v>
      </c>
      <c r="W8" s="11">
        <v>210.77135000000061</v>
      </c>
      <c r="X8" s="19">
        <v>688.88349999999798</v>
      </c>
      <c r="Y8" s="19">
        <v>271.7768045252019</v>
      </c>
      <c r="Z8" s="19">
        <v>1024.6979999999999</v>
      </c>
      <c r="AA8" s="59">
        <f t="shared" si="18"/>
        <v>2.2683925021118667</v>
      </c>
      <c r="AB8" s="59">
        <f t="shared" si="19"/>
        <v>1.5347398620109898</v>
      </c>
      <c r="AC8" s="60">
        <f t="shared" si="20"/>
        <v>0.48747647461436205</v>
      </c>
      <c r="AD8" s="11">
        <v>375</v>
      </c>
      <c r="AE8" s="19">
        <v>260</v>
      </c>
      <c r="AF8" s="20">
        <v>400</v>
      </c>
      <c r="AG8" s="135">
        <v>736.495</v>
      </c>
      <c r="AH8" s="136">
        <v>1243.8731511965191</v>
      </c>
      <c r="AI8" s="137">
        <v>1499</v>
      </c>
      <c r="AJ8" s="135">
        <v>686.55719999999997</v>
      </c>
      <c r="AK8" s="136">
        <v>1155.8831511965191</v>
      </c>
      <c r="AL8" s="137">
        <v>1391</v>
      </c>
      <c r="AM8" s="135">
        <v>5.0905000000000005</v>
      </c>
      <c r="AN8" s="136">
        <v>2</v>
      </c>
      <c r="AO8" s="137">
        <v>2</v>
      </c>
    </row>
    <row r="9" spans="1:41" ht="15" x14ac:dyDescent="0.25">
      <c r="A9" s="10" t="s">
        <v>17</v>
      </c>
      <c r="B9" s="11">
        <v>7208.1733000000004</v>
      </c>
      <c r="C9" s="45">
        <v>6161.2879400000002</v>
      </c>
      <c r="D9" s="19">
        <v>6306</v>
      </c>
      <c r="E9" s="19">
        <v>6269.5865375999992</v>
      </c>
      <c r="F9" s="59">
        <f t="shared" si="9"/>
        <v>-0.14523587550260486</v>
      </c>
      <c r="G9" s="59">
        <f t="shared" si="10"/>
        <v>-2.2948312718046315E-2</v>
      </c>
      <c r="H9" s="60">
        <f t="shared" si="11"/>
        <v>1.7577266093491417E-2</v>
      </c>
      <c r="I9" s="11">
        <v>-1336.0102699999993</v>
      </c>
      <c r="J9" s="19">
        <v>-545.44762333333404</v>
      </c>
      <c r="K9" s="19">
        <v>-1127.7629600017999</v>
      </c>
      <c r="L9" s="19">
        <v>-374.19652140833398</v>
      </c>
      <c r="M9" s="59">
        <f t="shared" si="12"/>
        <v>0.59173395925067673</v>
      </c>
      <c r="N9" s="59">
        <f t="shared" si="13"/>
        <v>0.51634550638862664</v>
      </c>
      <c r="O9" s="60">
        <f t="shared" si="14"/>
        <v>0.31396433791103906</v>
      </c>
      <c r="P9" s="11">
        <v>-1365.0417600000001</v>
      </c>
      <c r="Q9" s="19">
        <v>-528.09005333333403</v>
      </c>
      <c r="R9" s="19">
        <v>-827.7629636326119</v>
      </c>
      <c r="S9" s="19">
        <v>-344.19652140833398</v>
      </c>
      <c r="T9" s="59">
        <f t="shared" si="15"/>
        <v>0.6131326756381914</v>
      </c>
      <c r="U9" s="59">
        <f t="shared" si="16"/>
        <v>0.3620274444077235</v>
      </c>
      <c r="V9" s="60">
        <f t="shared" si="17"/>
        <v>0.34822381289754234</v>
      </c>
      <c r="W9" s="11">
        <v>-1678.4418199999993</v>
      </c>
      <c r="X9" s="19">
        <v>-734.465333333334</v>
      </c>
      <c r="Y9" s="19">
        <v>-1565.7879000015</v>
      </c>
      <c r="Z9" s="19">
        <v>-642.98252140833392</v>
      </c>
      <c r="AA9" s="59">
        <f t="shared" si="18"/>
        <v>0.56241239667554621</v>
      </c>
      <c r="AB9" s="59">
        <f t="shared" si="19"/>
        <v>0.53092923164585037</v>
      </c>
      <c r="AC9" s="60">
        <f t="shared" si="20"/>
        <v>0.1245570182459258</v>
      </c>
      <c r="AD9" s="11">
        <v>102.98170999999999</v>
      </c>
      <c r="AE9" s="19">
        <v>125</v>
      </c>
      <c r="AF9" s="20">
        <v>130</v>
      </c>
      <c r="AG9" s="135">
        <v>114.13729999999998</v>
      </c>
      <c r="AH9" s="136">
        <v>101.75514360000001</v>
      </c>
      <c r="AI9" s="137">
        <v>114.77916666666665</v>
      </c>
      <c r="AJ9" s="135">
        <v>92.647799999999989</v>
      </c>
      <c r="AK9" s="136">
        <v>82.18</v>
      </c>
      <c r="AL9" s="137">
        <v>92.291666666666657</v>
      </c>
      <c r="AM9" s="135">
        <v>2</v>
      </c>
      <c r="AN9" s="136">
        <v>1</v>
      </c>
      <c r="AO9" s="137">
        <v>1</v>
      </c>
    </row>
    <row r="10" spans="1:41" ht="15" thickBot="1" x14ac:dyDescent="0.35">
      <c r="A10" s="10" t="s">
        <v>69</v>
      </c>
      <c r="B10" s="12">
        <v>1056.9922200000001</v>
      </c>
      <c r="C10" s="38">
        <v>1184.2619999999999</v>
      </c>
      <c r="D10" s="29">
        <v>1343.78926</v>
      </c>
      <c r="E10" s="29">
        <v>1217.009</v>
      </c>
      <c r="F10" s="61">
        <f t="shared" si="9"/>
        <v>0.1204074898488845</v>
      </c>
      <c r="G10" s="61">
        <f t="shared" si="10"/>
        <v>-0.11871449247927468</v>
      </c>
      <c r="H10" s="62">
        <f t="shared" si="11"/>
        <v>2.7651820289767093E-2</v>
      </c>
      <c r="I10" s="11">
        <v>-833.09700999999995</v>
      </c>
      <c r="J10" s="19">
        <v>-540.87153708689243</v>
      </c>
      <c r="K10" s="19">
        <v>-575.98697000040011</v>
      </c>
      <c r="L10" s="19">
        <v>-534.00849492048815</v>
      </c>
      <c r="M10" s="59">
        <f t="shared" si="12"/>
        <v>0.35077004167030623</v>
      </c>
      <c r="N10" s="59">
        <f t="shared" si="13"/>
        <v>6.0965672389226566E-2</v>
      </c>
      <c r="O10" s="60">
        <f t="shared" si="14"/>
        <v>1.2688858066683073E-2</v>
      </c>
      <c r="P10" s="11">
        <v>-641.93880000000001</v>
      </c>
      <c r="Q10" s="19">
        <v>-525.87153708689243</v>
      </c>
      <c r="R10" s="19">
        <v>-575.98697230000005</v>
      </c>
      <c r="S10" s="19">
        <v>-534.00849492048815</v>
      </c>
      <c r="T10" s="59">
        <f t="shared" si="15"/>
        <v>0.18080736499041272</v>
      </c>
      <c r="U10" s="59">
        <f t="shared" si="16"/>
        <v>8.7007931816564077E-2</v>
      </c>
      <c r="V10" s="60">
        <f t="shared" si="17"/>
        <v>-1.5473280563293113E-2</v>
      </c>
      <c r="W10" s="11">
        <v>-878.40760999999998</v>
      </c>
      <c r="X10" s="19">
        <v>-566.52093708689245</v>
      </c>
      <c r="Y10" s="19">
        <v>-661.65980000040008</v>
      </c>
      <c r="Z10" s="19">
        <v>-578.40789492048816</v>
      </c>
      <c r="AA10" s="59">
        <f t="shared" si="18"/>
        <v>0.35505916542902849</v>
      </c>
      <c r="AB10" s="59">
        <f t="shared" si="19"/>
        <v>0.14378818678941974</v>
      </c>
      <c r="AC10" s="60">
        <f t="shared" si="20"/>
        <v>-2.0982380447789994E-2</v>
      </c>
      <c r="AD10" s="11">
        <v>750</v>
      </c>
      <c r="AE10" s="19">
        <v>600</v>
      </c>
      <c r="AF10" s="20">
        <v>0</v>
      </c>
      <c r="AG10" s="135">
        <v>32.656599999999997</v>
      </c>
      <c r="AH10" s="136">
        <v>31</v>
      </c>
      <c r="AI10" s="137">
        <v>31</v>
      </c>
      <c r="AJ10" s="135">
        <v>30.343</v>
      </c>
      <c r="AK10" s="136">
        <v>29</v>
      </c>
      <c r="AL10" s="137">
        <v>29</v>
      </c>
      <c r="AM10" s="135">
        <v>0.79730000000000001</v>
      </c>
      <c r="AN10" s="136">
        <v>0</v>
      </c>
      <c r="AO10" s="137">
        <v>0</v>
      </c>
    </row>
    <row r="11" spans="1:41" ht="16.2" thickBot="1" x14ac:dyDescent="0.35">
      <c r="A11" s="4" t="s">
        <v>19</v>
      </c>
      <c r="B11" s="5">
        <f t="shared" ref="B11:L11" si="21">+B12+B18</f>
        <v>187192.965845</v>
      </c>
      <c r="C11" s="6">
        <f t="shared" si="21"/>
        <v>195620.82991250927</v>
      </c>
      <c r="D11" s="6">
        <f t="shared" si="21"/>
        <v>193922.62370094407</v>
      </c>
      <c r="E11" s="6">
        <f t="shared" si="21"/>
        <v>205830.16513613856</v>
      </c>
      <c r="F11" s="54">
        <f t="shared" si="9"/>
        <v>4.5022333128092784E-2</v>
      </c>
      <c r="G11" s="54">
        <f t="shared" si="10"/>
        <v>8.7571330211790865E-3</v>
      </c>
      <c r="H11" s="55">
        <f t="shared" si="11"/>
        <v>5.2189407580958358E-2</v>
      </c>
      <c r="I11" s="5">
        <f t="shared" si="21"/>
        <v>-230.0856699999822</v>
      </c>
      <c r="J11" s="6">
        <f t="shared" si="21"/>
        <v>4361.6139022613525</v>
      </c>
      <c r="K11" s="6">
        <f t="shared" si="21"/>
        <v>2570.4900534546205</v>
      </c>
      <c r="L11" s="6">
        <f t="shared" si="21"/>
        <v>6174.4265802768195</v>
      </c>
      <c r="M11" s="54">
        <f t="shared" si="12"/>
        <v>19.956477829591428</v>
      </c>
      <c r="N11" s="54">
        <f t="shared" si="13"/>
        <v>0.69680248184564797</v>
      </c>
      <c r="O11" s="55">
        <f t="shared" si="14"/>
        <v>0.41562887468686394</v>
      </c>
      <c r="P11" s="5">
        <f t="shared" ref="P11:S11" si="22">+P12+P18</f>
        <v>1092.4965699999989</v>
      </c>
      <c r="Q11" s="6">
        <f t="shared" si="22"/>
        <v>4606.6966222613519</v>
      </c>
      <c r="R11" s="6">
        <f t="shared" si="22"/>
        <v>2807.9790541131279</v>
      </c>
      <c r="S11" s="6">
        <f t="shared" si="22"/>
        <v>6302.6113002768188</v>
      </c>
      <c r="T11" s="54">
        <f t="shared" si="15"/>
        <v>3.216669185754383</v>
      </c>
      <c r="U11" s="54">
        <f t="shared" si="16"/>
        <v>0.64057371279656183</v>
      </c>
      <c r="V11" s="55">
        <f t="shared" si="17"/>
        <v>0.36814116862398683</v>
      </c>
      <c r="W11" s="5">
        <f t="shared" ref="W11:Z11" si="23">+W12+W18</f>
        <v>-2807.1778699999827</v>
      </c>
      <c r="X11" s="6">
        <f t="shared" si="23"/>
        <v>1201.6489768327806</v>
      </c>
      <c r="Y11" s="6">
        <f t="shared" si="23"/>
        <v>-423.36969654597851</v>
      </c>
      <c r="Z11" s="6">
        <f t="shared" si="23"/>
        <v>3110.6229793006651</v>
      </c>
      <c r="AA11" s="54">
        <f t="shared" si="18"/>
        <v>1.4280629986701869</v>
      </c>
      <c r="AB11" s="54">
        <f t="shared" si="19"/>
        <v>3.8382970879501288</v>
      </c>
      <c r="AC11" s="55">
        <f t="shared" si="20"/>
        <v>1.5886286588446321</v>
      </c>
      <c r="AD11" s="5">
        <f>SUM(AD12:AD18)</f>
        <v>21614.9</v>
      </c>
      <c r="AE11" s="6">
        <f t="shared" ref="AE11:AF11" si="24">SUM(AE12:AE18)</f>
        <v>15363</v>
      </c>
      <c r="AF11" s="7">
        <f t="shared" si="24"/>
        <v>22601</v>
      </c>
      <c r="AG11" s="129">
        <f>SUM(AG12:AG18)</f>
        <v>4442.4839123287675</v>
      </c>
      <c r="AH11" s="130">
        <f t="shared" ref="AH11" si="25">SUM(AH12:AH18)</f>
        <v>4512.72</v>
      </c>
      <c r="AI11" s="131">
        <f t="shared" ref="AI11" si="26">SUM(AI12:AI18)</f>
        <v>4708.62</v>
      </c>
      <c r="AJ11" s="129">
        <f>SUM(AJ12:AJ18)</f>
        <v>3194.0898219178084</v>
      </c>
      <c r="AK11" s="130">
        <f t="shared" ref="AK11:AL11" si="27">SUM(AK12:AK18)</f>
        <v>3259.35</v>
      </c>
      <c r="AL11" s="131">
        <f t="shared" si="27"/>
        <v>3386.66</v>
      </c>
      <c r="AM11" s="129">
        <f>SUM(AM12:AM18)</f>
        <v>43.270132876712324</v>
      </c>
      <c r="AN11" s="130">
        <f t="shared" ref="AN11:AO11" si="28">SUM(AN12:AN18)</f>
        <v>48.7</v>
      </c>
      <c r="AO11" s="131">
        <f t="shared" si="28"/>
        <v>52.7</v>
      </c>
    </row>
    <row r="12" spans="1:41" x14ac:dyDescent="0.3">
      <c r="A12" s="8" t="s">
        <v>20</v>
      </c>
      <c r="B12" s="11">
        <f>+B13+B14+B15+B16+B17</f>
        <v>128665.965845</v>
      </c>
      <c r="C12" s="45">
        <f t="shared" ref="C12:L12" si="29">+C13+C14+C15+C16+C17</f>
        <v>128868.37891250927</v>
      </c>
      <c r="D12" s="19">
        <f>+D13+D14+D15+D16+D17</f>
        <v>129680.62370094408</v>
      </c>
      <c r="E12" s="19">
        <f t="shared" si="29"/>
        <v>132990.30313613857</v>
      </c>
      <c r="F12" s="59">
        <f t="shared" si="9"/>
        <v>1.5731671244991752E-3</v>
      </c>
      <c r="G12" s="59">
        <f t="shared" si="10"/>
        <v>-6.2634244442556497E-3</v>
      </c>
      <c r="H12" s="60">
        <f t="shared" si="11"/>
        <v>3.1985536393126512E-2</v>
      </c>
      <c r="I12" s="11">
        <f t="shared" si="29"/>
        <v>3781.9143300000178</v>
      </c>
      <c r="J12" s="19">
        <f t="shared" si="29"/>
        <v>4562.8789022613591</v>
      </c>
      <c r="K12" s="19">
        <f t="shared" si="29"/>
        <v>5068.4900534546205</v>
      </c>
      <c r="L12" s="19">
        <f t="shared" si="29"/>
        <v>5364.0285802768221</v>
      </c>
      <c r="M12" s="59">
        <f t="shared" si="12"/>
        <v>0.20649980515590838</v>
      </c>
      <c r="N12" s="59">
        <f t="shared" si="13"/>
        <v>-9.9755774572082512E-2</v>
      </c>
      <c r="O12" s="60">
        <f t="shared" si="14"/>
        <v>0.17557986858218255</v>
      </c>
      <c r="P12" s="11">
        <f t="shared" ref="P12:S12" si="30">+P13+P14+P15+P16+P17</f>
        <v>4752.8123399999995</v>
      </c>
      <c r="Q12" s="19">
        <f t="shared" si="30"/>
        <v>4349.9616222613586</v>
      </c>
      <c r="R12" s="19">
        <f t="shared" si="30"/>
        <v>5280.9790541131279</v>
      </c>
      <c r="S12" s="19">
        <f t="shared" si="30"/>
        <v>5492.2133002768214</v>
      </c>
      <c r="T12" s="59">
        <f t="shared" si="15"/>
        <v>-8.4760493139655724E-2</v>
      </c>
      <c r="U12" s="59">
        <f t="shared" si="16"/>
        <v>-0.17629636897094669</v>
      </c>
      <c r="V12" s="60">
        <f t="shared" si="17"/>
        <v>0.26258890932965406</v>
      </c>
      <c r="W12" s="11">
        <f t="shared" ref="W12:Z12" si="31">+W13+W14+W15+W16+W17</f>
        <v>2341.8221300000173</v>
      </c>
      <c r="X12" s="19">
        <f t="shared" si="31"/>
        <v>3600.8839768327871</v>
      </c>
      <c r="Y12" s="19">
        <f t="shared" si="31"/>
        <v>3460.6303034540215</v>
      </c>
      <c r="Z12" s="19">
        <f t="shared" si="31"/>
        <v>4340.7009793006673</v>
      </c>
      <c r="AA12" s="59">
        <f t="shared" si="18"/>
        <v>0.53764196294137867</v>
      </c>
      <c r="AB12" s="59">
        <f t="shared" si="19"/>
        <v>4.0528360755201165E-2</v>
      </c>
      <c r="AC12" s="60">
        <f t="shared" si="20"/>
        <v>0.20545427379156989</v>
      </c>
      <c r="AD12" s="105"/>
      <c r="AE12" s="106"/>
      <c r="AF12" s="107"/>
      <c r="AG12" s="138"/>
      <c r="AH12" s="139"/>
      <c r="AI12" s="140"/>
      <c r="AJ12" s="138"/>
      <c r="AK12" s="139"/>
      <c r="AL12" s="140"/>
      <c r="AM12" s="138"/>
      <c r="AN12" s="139"/>
      <c r="AO12" s="140"/>
    </row>
    <row r="13" spans="1:41" x14ac:dyDescent="0.3">
      <c r="A13" s="13" t="s">
        <v>21</v>
      </c>
      <c r="B13" s="14">
        <v>137825.82793</v>
      </c>
      <c r="C13" s="37">
        <v>140546.99993740401</v>
      </c>
      <c r="D13" s="16">
        <v>139915.84110784929</v>
      </c>
      <c r="E13" s="16">
        <v>149126.99958984856</v>
      </c>
      <c r="F13" s="63">
        <f t="shared" si="9"/>
        <v>1.9743556402114004E-2</v>
      </c>
      <c r="G13" s="63">
        <f t="shared" si="10"/>
        <v>4.5109890671222175E-3</v>
      </c>
      <c r="H13" s="64">
        <f t="shared" si="11"/>
        <v>6.1047191731348649E-2</v>
      </c>
      <c r="I13" s="14">
        <v>4612.9023600000173</v>
      </c>
      <c r="J13" s="16">
        <v>5517.5940959082309</v>
      </c>
      <c r="K13" s="16">
        <v>5507.2730694245711</v>
      </c>
      <c r="L13" s="16">
        <v>6293.0912036953023</v>
      </c>
      <c r="M13" s="63">
        <f t="shared" si="12"/>
        <v>0.19612202151796909</v>
      </c>
      <c r="N13" s="63">
        <f t="shared" si="13"/>
        <v>1.8740720413812362E-3</v>
      </c>
      <c r="O13" s="64">
        <f t="shared" si="14"/>
        <v>0.14054986544990133</v>
      </c>
      <c r="P13" s="14">
        <v>4807.8198499999999</v>
      </c>
      <c r="Q13" s="16">
        <v>4078.5576264382817</v>
      </c>
      <c r="R13" s="16">
        <v>5058.0402561222854</v>
      </c>
      <c r="S13" s="16">
        <v>5173.174346223931</v>
      </c>
      <c r="T13" s="63">
        <f t="shared" si="15"/>
        <v>-0.15168251854563941</v>
      </c>
      <c r="U13" s="63">
        <f t="shared" si="16"/>
        <v>-0.19364864257425229</v>
      </c>
      <c r="V13" s="64">
        <f t="shared" si="17"/>
        <v>0.26838329136017514</v>
      </c>
      <c r="W13" s="14">
        <v>2868.4627800000171</v>
      </c>
      <c r="X13" s="16">
        <v>4367.407705908231</v>
      </c>
      <c r="Y13" s="16">
        <v>3556.4735694237711</v>
      </c>
      <c r="Z13" s="16">
        <v>5065.2210166752975</v>
      </c>
      <c r="AA13" s="63">
        <f t="shared" si="18"/>
        <v>0.52256035405423851</v>
      </c>
      <c r="AB13" s="63">
        <f t="shared" si="19"/>
        <v>0.22801635402448661</v>
      </c>
      <c r="AC13" s="64">
        <f t="shared" si="20"/>
        <v>0.15977746016774774</v>
      </c>
      <c r="AD13" s="14">
        <v>18030</v>
      </c>
      <c r="AE13" s="16">
        <v>12650</v>
      </c>
      <c r="AF13" s="22">
        <v>19376</v>
      </c>
      <c r="AG13" s="127">
        <v>3846.9832000000006</v>
      </c>
      <c r="AH13" s="128">
        <v>3858.61</v>
      </c>
      <c r="AI13" s="141">
        <v>3990.12</v>
      </c>
      <c r="AJ13" s="127">
        <v>3078.3154000000004</v>
      </c>
      <c r="AK13" s="128">
        <v>3117.04</v>
      </c>
      <c r="AL13" s="141">
        <v>3208.85</v>
      </c>
      <c r="AM13" s="127">
        <v>31.168900000000001</v>
      </c>
      <c r="AN13" s="128">
        <v>35</v>
      </c>
      <c r="AO13" s="141">
        <v>37</v>
      </c>
    </row>
    <row r="14" spans="1:41" x14ac:dyDescent="0.3">
      <c r="A14" s="15" t="s">
        <v>22</v>
      </c>
      <c r="B14" s="14">
        <v>-11203.228654999995</v>
      </c>
      <c r="C14" s="37">
        <v>-13468.021674894737</v>
      </c>
      <c r="D14" s="16">
        <v>-13481.632582099001</v>
      </c>
      <c r="E14" s="16">
        <v>-17981.953089710001</v>
      </c>
      <c r="F14" s="63">
        <f t="shared" si="9"/>
        <v>0.20215538659777033</v>
      </c>
      <c r="G14" s="63">
        <f t="shared" si="10"/>
        <v>-1.0095889441710248E-3</v>
      </c>
      <c r="H14" s="64">
        <f t="shared" si="11"/>
        <v>0.33515920331710825</v>
      </c>
      <c r="I14" s="14">
        <v>-944.19623000000001</v>
      </c>
      <c r="J14" s="16">
        <v>-1226.1191894699489</v>
      </c>
      <c r="K14" s="16">
        <v>-661.72188490625001</v>
      </c>
      <c r="L14" s="16">
        <v>-1248.1015774713703</v>
      </c>
      <c r="M14" s="63">
        <f t="shared" si="12"/>
        <v>-0.29858513570844147</v>
      </c>
      <c r="N14" s="63">
        <f t="shared" si="13"/>
        <v>-0.85292222826159114</v>
      </c>
      <c r="O14" s="64">
        <f t="shared" si="14"/>
        <v>-1.7928426689842736E-2</v>
      </c>
      <c r="P14" s="14">
        <v>0</v>
      </c>
      <c r="Q14" s="16">
        <v>0</v>
      </c>
      <c r="R14" s="16">
        <v>0</v>
      </c>
      <c r="S14" s="16">
        <v>0</v>
      </c>
      <c r="T14" s="63" t="str">
        <f t="shared" si="15"/>
        <v>N/A</v>
      </c>
      <c r="U14" s="63" t="str">
        <f t="shared" si="16"/>
        <v>N/A</v>
      </c>
      <c r="V14" s="64" t="str">
        <f t="shared" si="17"/>
        <v>N/A</v>
      </c>
      <c r="W14" s="14">
        <v>-766.80998</v>
      </c>
      <c r="X14" s="16">
        <v>-1080.9909168985203</v>
      </c>
      <c r="Y14" s="16">
        <v>-437.82213490605</v>
      </c>
      <c r="Z14" s="16">
        <v>-1087.4115899235208</v>
      </c>
      <c r="AA14" s="63">
        <f t="shared" si="18"/>
        <v>-0.40972463203794018</v>
      </c>
      <c r="AB14" s="63">
        <f t="shared" si="19"/>
        <v>-1.4690184225849716</v>
      </c>
      <c r="AC14" s="64">
        <f t="shared" si="20"/>
        <v>-5.9396179233606183E-3</v>
      </c>
      <c r="AD14" s="91"/>
      <c r="AE14" s="93"/>
      <c r="AF14" s="96"/>
      <c r="AG14" s="142"/>
      <c r="AH14" s="143"/>
      <c r="AI14" s="144"/>
      <c r="AJ14" s="142"/>
      <c r="AK14" s="143"/>
      <c r="AL14" s="144"/>
      <c r="AM14" s="142"/>
      <c r="AN14" s="143"/>
      <c r="AO14" s="144"/>
    </row>
    <row r="15" spans="1:41" ht="15" x14ac:dyDescent="0.25">
      <c r="A15" s="17" t="s">
        <v>23</v>
      </c>
      <c r="B15" s="14">
        <v>14481.217360000001</v>
      </c>
      <c r="C15" s="37">
        <v>15049.9040454852</v>
      </c>
      <c r="D15" s="16">
        <v>12093.62</v>
      </c>
      <c r="E15" s="16">
        <v>13715.180013116498</v>
      </c>
      <c r="F15" s="63">
        <f t="shared" si="9"/>
        <v>3.9270640813390711E-2</v>
      </c>
      <c r="G15" s="63">
        <f t="shared" si="10"/>
        <v>0.24444988725337824</v>
      </c>
      <c r="H15" s="64">
        <f t="shared" si="11"/>
        <v>-8.8686547657365611E-2</v>
      </c>
      <c r="I15" s="14">
        <v>68.13734000000025</v>
      </c>
      <c r="J15" s="16">
        <v>128.23400582307619</v>
      </c>
      <c r="K15" s="16">
        <v>60.505775999900209</v>
      </c>
      <c r="L15" s="16">
        <v>146.33220205289047</v>
      </c>
      <c r="M15" s="63">
        <f t="shared" si="12"/>
        <v>0.88199313068393503</v>
      </c>
      <c r="N15" s="63">
        <f t="shared" si="13"/>
        <v>1.1193680058460482</v>
      </c>
      <c r="O15" s="64">
        <f t="shared" si="14"/>
        <v>0.1411341407737372</v>
      </c>
      <c r="P15" s="14">
        <v>-100.07836999999999</v>
      </c>
      <c r="Q15" s="16">
        <v>128.23400582307619</v>
      </c>
      <c r="R15" s="16">
        <v>60.506</v>
      </c>
      <c r="S15" s="16">
        <v>146.33220205289047</v>
      </c>
      <c r="T15" s="63">
        <f t="shared" si="15"/>
        <v>2.2813358753052855</v>
      </c>
      <c r="U15" s="63">
        <f t="shared" si="16"/>
        <v>1.1193601597044291</v>
      </c>
      <c r="V15" s="64">
        <f t="shared" si="17"/>
        <v>0.1411341407737372</v>
      </c>
      <c r="W15" s="14">
        <v>218.57718000000023</v>
      </c>
      <c r="X15" s="16">
        <v>179.34219782307622</v>
      </c>
      <c r="Y15" s="16">
        <v>213.1457759999002</v>
      </c>
      <c r="Z15" s="16">
        <v>198.10480054889047</v>
      </c>
      <c r="AA15" s="63">
        <f t="shared" si="18"/>
        <v>-0.1795017310449516</v>
      </c>
      <c r="AB15" s="63">
        <f t="shared" si="19"/>
        <v>-0.1585937043239356</v>
      </c>
      <c r="AC15" s="64">
        <f t="shared" si="20"/>
        <v>0.1046190074258142</v>
      </c>
      <c r="AD15" s="14">
        <v>150</v>
      </c>
      <c r="AE15" s="16">
        <v>150</v>
      </c>
      <c r="AF15" s="22">
        <v>95</v>
      </c>
      <c r="AG15" s="127">
        <v>35.321399999999997</v>
      </c>
      <c r="AH15" s="128">
        <v>41.92</v>
      </c>
      <c r="AI15" s="141">
        <v>41.42</v>
      </c>
      <c r="AJ15" s="127">
        <v>31.321400000000001</v>
      </c>
      <c r="AK15" s="128">
        <v>37.92</v>
      </c>
      <c r="AL15" s="141">
        <v>37.42</v>
      </c>
      <c r="AM15" s="127">
        <v>0</v>
      </c>
      <c r="AN15" s="128">
        <v>0</v>
      </c>
      <c r="AO15" s="141">
        <v>0</v>
      </c>
    </row>
    <row r="16" spans="1:41" ht="15" x14ac:dyDescent="0.25">
      <c r="A16" s="15" t="s">
        <v>24</v>
      </c>
      <c r="B16" s="14">
        <v>-14021</v>
      </c>
      <c r="C16" s="37">
        <v>-15049.9040454852</v>
      </c>
      <c r="D16" s="16">
        <v>-10593.6199948062</v>
      </c>
      <c r="E16" s="16">
        <v>-13715.180013116498</v>
      </c>
      <c r="F16" s="63">
        <f t="shared" si="9"/>
        <v>7.3383071498837493E-2</v>
      </c>
      <c r="G16" s="63">
        <f t="shared" si="10"/>
        <v>0.42065734403006805</v>
      </c>
      <c r="H16" s="64">
        <f t="shared" si="11"/>
        <v>-8.8686547657365611E-2</v>
      </c>
      <c r="I16" s="14">
        <v>0</v>
      </c>
      <c r="J16" s="16">
        <v>0</v>
      </c>
      <c r="K16" s="16">
        <v>0</v>
      </c>
      <c r="L16" s="16">
        <v>0</v>
      </c>
      <c r="M16" s="63" t="str">
        <f t="shared" si="12"/>
        <v>N/A</v>
      </c>
      <c r="N16" s="63" t="str">
        <f t="shared" si="13"/>
        <v>N/A</v>
      </c>
      <c r="O16" s="64" t="str">
        <f t="shared" si="14"/>
        <v>N/A</v>
      </c>
      <c r="P16" s="14">
        <v>0</v>
      </c>
      <c r="Q16" s="16">
        <v>0</v>
      </c>
      <c r="R16" s="16">
        <v>0</v>
      </c>
      <c r="S16" s="16">
        <v>0</v>
      </c>
      <c r="T16" s="63" t="str">
        <f t="shared" si="15"/>
        <v>N/A</v>
      </c>
      <c r="U16" s="63" t="str">
        <f t="shared" si="16"/>
        <v>N/A</v>
      </c>
      <c r="V16" s="64" t="str">
        <f t="shared" si="17"/>
        <v>N/A</v>
      </c>
      <c r="W16" s="14">
        <v>0</v>
      </c>
      <c r="X16" s="16">
        <v>0</v>
      </c>
      <c r="Y16" s="16">
        <v>0</v>
      </c>
      <c r="Z16" s="16">
        <v>0</v>
      </c>
      <c r="AA16" s="63" t="str">
        <f t="shared" si="18"/>
        <v>N/A</v>
      </c>
      <c r="AB16" s="63" t="str">
        <f t="shared" si="19"/>
        <v>N/A</v>
      </c>
      <c r="AC16" s="64" t="str">
        <f t="shared" si="20"/>
        <v>N/A</v>
      </c>
      <c r="AD16" s="91"/>
      <c r="AE16" s="93"/>
      <c r="AF16" s="96"/>
      <c r="AG16" s="142"/>
      <c r="AH16" s="143"/>
      <c r="AI16" s="144"/>
      <c r="AJ16" s="142"/>
      <c r="AK16" s="143"/>
      <c r="AL16" s="144"/>
      <c r="AM16" s="142"/>
      <c r="AN16" s="143"/>
      <c r="AO16" s="144"/>
    </row>
    <row r="17" spans="1:41" x14ac:dyDescent="0.3">
      <c r="A17" s="17" t="s">
        <v>25</v>
      </c>
      <c r="B17" s="14">
        <v>1583.14921</v>
      </c>
      <c r="C17" s="37">
        <v>1789.4006500000003</v>
      </c>
      <c r="D17" s="16">
        <v>1746.41517</v>
      </c>
      <c r="E17" s="16">
        <v>1845.2566360000001</v>
      </c>
      <c r="F17" s="63">
        <f t="shared" si="9"/>
        <v>0.13027921733290082</v>
      </c>
      <c r="G17" s="63">
        <f t="shared" si="10"/>
        <v>2.4613551656219368E-2</v>
      </c>
      <c r="H17" s="64">
        <f t="shared" si="11"/>
        <v>3.1214913216891738E-2</v>
      </c>
      <c r="I17" s="14">
        <v>45.070860000000138</v>
      </c>
      <c r="J17" s="16">
        <v>143.16999000000044</v>
      </c>
      <c r="K17" s="16">
        <v>162.43309293639993</v>
      </c>
      <c r="L17" s="16">
        <v>172.70675200000014</v>
      </c>
      <c r="M17" s="63">
        <f t="shared" si="12"/>
        <v>2.1765533207043308</v>
      </c>
      <c r="N17" s="63">
        <f t="shared" si="13"/>
        <v>-0.11859100007374657</v>
      </c>
      <c r="O17" s="64">
        <f t="shared" si="14"/>
        <v>0.20630553931029549</v>
      </c>
      <c r="P17" s="14">
        <v>45.070860000000003</v>
      </c>
      <c r="Q17" s="16">
        <v>143.16999000000044</v>
      </c>
      <c r="R17" s="16">
        <v>162.4327979908422</v>
      </c>
      <c r="S17" s="16">
        <v>172.70675200000014</v>
      </c>
      <c r="T17" s="63">
        <f t="shared" si="15"/>
        <v>2.1765533207043406</v>
      </c>
      <c r="U17" s="63">
        <f t="shared" si="16"/>
        <v>-0.11858939961083337</v>
      </c>
      <c r="V17" s="64">
        <f t="shared" si="17"/>
        <v>0.20630553931029549</v>
      </c>
      <c r="W17" s="14">
        <v>21.592150000000135</v>
      </c>
      <c r="X17" s="16">
        <v>135.12499000000045</v>
      </c>
      <c r="Y17" s="16">
        <v>128.83309293639994</v>
      </c>
      <c r="Z17" s="16">
        <v>164.78675200000015</v>
      </c>
      <c r="AA17" s="63">
        <f t="shared" si="18"/>
        <v>5.258060915656829</v>
      </c>
      <c r="AB17" s="63">
        <f t="shared" si="19"/>
        <v>4.8837584507162246E-2</v>
      </c>
      <c r="AC17" s="64">
        <f t="shared" si="20"/>
        <v>0.21951351855788914</v>
      </c>
      <c r="AD17" s="14">
        <v>70</v>
      </c>
      <c r="AE17" s="16">
        <v>70</v>
      </c>
      <c r="AF17" s="22">
        <v>70</v>
      </c>
      <c r="AG17" s="127">
        <v>48.064599999999999</v>
      </c>
      <c r="AH17" s="128">
        <v>55.83</v>
      </c>
      <c r="AI17" s="128">
        <v>57</v>
      </c>
      <c r="AJ17" s="127">
        <v>15.6562</v>
      </c>
      <c r="AK17" s="128">
        <v>19</v>
      </c>
      <c r="AL17" s="128">
        <v>20</v>
      </c>
      <c r="AM17" s="127">
        <v>0</v>
      </c>
      <c r="AN17" s="128">
        <v>0</v>
      </c>
      <c r="AO17" s="128">
        <v>0</v>
      </c>
    </row>
    <row r="18" spans="1:41" ht="15.75" thickBot="1" x14ac:dyDescent="0.3">
      <c r="A18" s="18" t="s">
        <v>26</v>
      </c>
      <c r="B18" s="12">
        <v>58527</v>
      </c>
      <c r="C18" s="38">
        <v>66752.451000000001</v>
      </c>
      <c r="D18" s="29">
        <v>64242</v>
      </c>
      <c r="E18" s="29">
        <v>72839.861999999994</v>
      </c>
      <c r="F18" s="61">
        <f t="shared" si="9"/>
        <v>0.14054113486083342</v>
      </c>
      <c r="G18" s="61">
        <f t="shared" si="10"/>
        <v>3.9078033062482476E-2</v>
      </c>
      <c r="H18" s="62">
        <f t="shared" si="11"/>
        <v>9.1193819984227931E-2</v>
      </c>
      <c r="I18" s="12">
        <v>-4012</v>
      </c>
      <c r="J18" s="29">
        <v>-201.26500000000669</v>
      </c>
      <c r="K18" s="29">
        <v>-2498</v>
      </c>
      <c r="L18" s="29">
        <v>810.39799999999741</v>
      </c>
      <c r="M18" s="61">
        <f t="shared" si="12"/>
        <v>0.94983424725822363</v>
      </c>
      <c r="N18" s="61">
        <f t="shared" si="13"/>
        <v>0.91942954363490526</v>
      </c>
      <c r="O18" s="62">
        <f t="shared" si="14"/>
        <v>5.0265222467889128</v>
      </c>
      <c r="P18" s="12">
        <v>-3660.3157700000006</v>
      </c>
      <c r="Q18" s="29">
        <v>256.73499999999331</v>
      </c>
      <c r="R18" s="29">
        <v>-2473</v>
      </c>
      <c r="S18" s="29">
        <v>810.39799999999741</v>
      </c>
      <c r="T18" s="61">
        <f t="shared" si="15"/>
        <v>1.070140123457161</v>
      </c>
      <c r="U18" s="61">
        <f t="shared" si="16"/>
        <v>1.1038152042054159</v>
      </c>
      <c r="V18" s="62">
        <f t="shared" si="17"/>
        <v>2.1565544238223016</v>
      </c>
      <c r="W18" s="12">
        <v>-5149</v>
      </c>
      <c r="X18" s="29">
        <v>-2399.2350000000065</v>
      </c>
      <c r="Y18" s="29">
        <v>-3884</v>
      </c>
      <c r="Z18" s="29">
        <v>-1230.0780000000025</v>
      </c>
      <c r="AA18" s="61">
        <f t="shared" si="18"/>
        <v>0.53403864828121839</v>
      </c>
      <c r="AB18" s="61">
        <f t="shared" si="19"/>
        <v>0.38227729145210954</v>
      </c>
      <c r="AC18" s="62">
        <f t="shared" si="20"/>
        <v>0.48730407817491861</v>
      </c>
      <c r="AD18" s="12">
        <v>3364.9</v>
      </c>
      <c r="AE18" s="29">
        <v>2493</v>
      </c>
      <c r="AF18" s="30">
        <v>3060</v>
      </c>
      <c r="AG18" s="145">
        <v>512.11471232876715</v>
      </c>
      <c r="AH18" s="146">
        <v>556.36</v>
      </c>
      <c r="AI18" s="147">
        <v>620.08000000000004</v>
      </c>
      <c r="AJ18" s="145">
        <v>68.796821917808217</v>
      </c>
      <c r="AK18" s="146">
        <v>85.39</v>
      </c>
      <c r="AL18" s="147">
        <v>120.39</v>
      </c>
      <c r="AM18" s="145">
        <v>12.101232876712327</v>
      </c>
      <c r="AN18" s="146">
        <v>13.7</v>
      </c>
      <c r="AO18" s="147">
        <v>15.7</v>
      </c>
    </row>
    <row r="19" spans="1:41" ht="16.2" thickBot="1" x14ac:dyDescent="0.35">
      <c r="A19" s="4" t="s">
        <v>27</v>
      </c>
      <c r="B19" s="5">
        <f>SUM(B20:B22)</f>
        <v>38083.126360000002</v>
      </c>
      <c r="C19" s="6">
        <f t="shared" ref="C19:E19" si="32">SUM(C20:C22)</f>
        <v>38247.583808002775</v>
      </c>
      <c r="D19" s="6">
        <f>SUM(D20:D22)</f>
        <v>42116.530789853503</v>
      </c>
      <c r="E19" s="6">
        <f t="shared" si="32"/>
        <v>40542.257796834703</v>
      </c>
      <c r="F19" s="54">
        <f t="shared" si="9"/>
        <v>4.3183809661044847E-3</v>
      </c>
      <c r="G19" s="54">
        <f t="shared" si="10"/>
        <v>-9.1862907729874377E-2</v>
      </c>
      <c r="H19" s="55">
        <f t="shared" si="11"/>
        <v>5.9995266638301903E-2</v>
      </c>
      <c r="I19" s="5">
        <f>SUM(I20:I22)</f>
        <v>-268.57559000000094</v>
      </c>
      <c r="J19" s="6">
        <f t="shared" ref="J19:L19" si="33">SUM(J20:J22)</f>
        <v>-360.02785430631218</v>
      </c>
      <c r="K19" s="6">
        <f t="shared" si="33"/>
        <v>-285.47034395270055</v>
      </c>
      <c r="L19" s="6">
        <f t="shared" si="33"/>
        <v>96.782909979682131</v>
      </c>
      <c r="M19" s="54">
        <f t="shared" si="12"/>
        <v>-0.34050847400655782</v>
      </c>
      <c r="N19" s="54">
        <f t="shared" si="13"/>
        <v>-0.26117427583288655</v>
      </c>
      <c r="O19" s="55">
        <f t="shared" si="14"/>
        <v>1.2688206171329708</v>
      </c>
      <c r="P19" s="5">
        <f>SUM(P20:P22)</f>
        <v>-588.31236000000013</v>
      </c>
      <c r="Q19" s="6">
        <f t="shared" ref="Q19:S19" si="34">SUM(Q20:Q22)</f>
        <v>10.074895693687836</v>
      </c>
      <c r="R19" s="6">
        <f t="shared" si="34"/>
        <v>-247.82005507330848</v>
      </c>
      <c r="S19" s="6">
        <f t="shared" si="34"/>
        <v>154.25986997968232</v>
      </c>
      <c r="T19" s="54">
        <f t="shared" si="15"/>
        <v>1.0171250790884079</v>
      </c>
      <c r="U19" s="54">
        <f t="shared" si="16"/>
        <v>1.0406540773736312</v>
      </c>
      <c r="V19" s="55">
        <f t="shared" si="17"/>
        <v>14.311311865623566</v>
      </c>
      <c r="W19" s="5">
        <f>SUM(W20:W22)</f>
        <v>-1375.0259600000009</v>
      </c>
      <c r="X19" s="6">
        <f t="shared" ref="X19:Z19" si="35">SUM(X20:X22)</f>
        <v>-1149.0723873965769</v>
      </c>
      <c r="Y19" s="6">
        <f t="shared" si="35"/>
        <v>-1488.0707385801006</v>
      </c>
      <c r="Z19" s="6">
        <f t="shared" si="35"/>
        <v>-638.61232992393718</v>
      </c>
      <c r="AA19" s="54">
        <f t="shared" si="18"/>
        <v>0.16432676849491901</v>
      </c>
      <c r="AB19" s="54">
        <f t="shared" si="19"/>
        <v>0.22781064259552064</v>
      </c>
      <c r="AC19" s="55">
        <f t="shared" si="20"/>
        <v>0.44423664085182279</v>
      </c>
      <c r="AD19" s="5">
        <f t="shared" ref="AD19:AF19" si="36">SUM(AD20:AD22)</f>
        <v>944.8281199999999</v>
      </c>
      <c r="AE19" s="6">
        <f t="shared" si="36"/>
        <v>2061.5</v>
      </c>
      <c r="AF19" s="7">
        <f t="shared" si="36"/>
        <v>1277.58094155</v>
      </c>
      <c r="AG19" s="129">
        <f t="shared" ref="AG19:AI19" si="37">SUM(AG20:AG22)</f>
        <v>933.50010273972612</v>
      </c>
      <c r="AH19" s="130">
        <f t="shared" ref="AH19" si="38">SUM(AH20:AH22)</f>
        <v>952.33707509999999</v>
      </c>
      <c r="AI19" s="131">
        <f t="shared" si="37"/>
        <v>1060.7949199333332</v>
      </c>
      <c r="AJ19" s="129">
        <f t="shared" ref="AJ19:AL19" si="39">SUM(AJ20:AJ22)</f>
        <v>317.37250273972609</v>
      </c>
      <c r="AK19" s="130">
        <f t="shared" si="39"/>
        <v>328.5926</v>
      </c>
      <c r="AL19" s="131">
        <f t="shared" si="39"/>
        <v>376.24583333333328</v>
      </c>
      <c r="AM19" s="129">
        <f t="shared" ref="AM19:AO19" si="40">SUM(AM20:AM22)</f>
        <v>58.194957534246576</v>
      </c>
      <c r="AN19" s="130">
        <f t="shared" si="40"/>
        <v>67.3</v>
      </c>
      <c r="AO19" s="131">
        <f t="shared" si="40"/>
        <v>69.2</v>
      </c>
    </row>
    <row r="20" spans="1:41" ht="15" x14ac:dyDescent="0.25">
      <c r="A20" s="8" t="s">
        <v>28</v>
      </c>
      <c r="B20" s="11">
        <v>25240.618380000004</v>
      </c>
      <c r="C20" s="19">
        <v>25877.175946937808</v>
      </c>
      <c r="D20" s="19">
        <v>27516.202007329102</v>
      </c>
      <c r="E20" s="19">
        <v>27941.066860258699</v>
      </c>
      <c r="F20" s="59">
        <f t="shared" si="9"/>
        <v>2.5219570984924777E-2</v>
      </c>
      <c r="G20" s="59">
        <f t="shared" si="10"/>
        <v>-5.9565853599807483E-2</v>
      </c>
      <c r="H20" s="60">
        <f t="shared" si="11"/>
        <v>7.9757192885073103E-2</v>
      </c>
      <c r="I20" s="11">
        <v>859.67947000000072</v>
      </c>
      <c r="J20" s="19">
        <v>649.91354050049665</v>
      </c>
      <c r="K20" s="19">
        <v>471.32466815299824</v>
      </c>
      <c r="L20" s="19">
        <v>646.57639305459895</v>
      </c>
      <c r="M20" s="59">
        <f t="shared" si="12"/>
        <v>-0.24400481437518085</v>
      </c>
      <c r="N20" s="59">
        <f t="shared" si="13"/>
        <v>0.37890839248313246</v>
      </c>
      <c r="O20" s="60">
        <f t="shared" si="14"/>
        <v>-5.134755991278106E-3</v>
      </c>
      <c r="P20" s="11">
        <v>424.59549999999996</v>
      </c>
      <c r="Q20" s="19">
        <v>829.56268050049664</v>
      </c>
      <c r="R20" s="19">
        <v>471.32466413376619</v>
      </c>
      <c r="S20" s="19">
        <v>646.57639305459895</v>
      </c>
      <c r="T20" s="59">
        <f t="shared" si="15"/>
        <v>0.95377172037974201</v>
      </c>
      <c r="U20" s="59">
        <f t="shared" si="16"/>
        <v>0.76006634837395071</v>
      </c>
      <c r="V20" s="60">
        <f t="shared" si="17"/>
        <v>-0.22058162902831802</v>
      </c>
      <c r="W20" s="11">
        <v>15.660900000000765</v>
      </c>
      <c r="X20" s="19">
        <v>49.559804303255419</v>
      </c>
      <c r="Y20" s="19">
        <v>-353.55466647440187</v>
      </c>
      <c r="Z20" s="19">
        <v>131.55806004741453</v>
      </c>
      <c r="AA20" s="59">
        <f t="shared" si="18"/>
        <v>2.1645565901865793</v>
      </c>
      <c r="AB20" s="59">
        <f t="shared" si="19"/>
        <v>1.1401757889309139</v>
      </c>
      <c r="AC20" s="60">
        <f t="shared" si="20"/>
        <v>1.6545314675258496</v>
      </c>
      <c r="AD20" s="11">
        <v>728.4</v>
      </c>
      <c r="AE20" s="19">
        <v>1915</v>
      </c>
      <c r="AF20" s="20">
        <v>1075.58094155</v>
      </c>
      <c r="AG20" s="135">
        <v>745.24040000000014</v>
      </c>
      <c r="AH20" s="136">
        <v>752.7</v>
      </c>
      <c r="AI20" s="137">
        <v>859.65784483333323</v>
      </c>
      <c r="AJ20" s="135">
        <v>179.07760000000002</v>
      </c>
      <c r="AK20" s="136">
        <v>175.55</v>
      </c>
      <c r="AL20" s="137">
        <v>219.70323333333332</v>
      </c>
      <c r="AM20" s="135">
        <v>19.306699999999999</v>
      </c>
      <c r="AN20" s="136">
        <v>14.3</v>
      </c>
      <c r="AO20" s="137">
        <v>16.2</v>
      </c>
    </row>
    <row r="21" spans="1:41" ht="15" x14ac:dyDescent="0.25">
      <c r="A21" s="10" t="s">
        <v>29</v>
      </c>
      <c r="B21" s="11">
        <v>1029</v>
      </c>
      <c r="C21" s="45">
        <v>1230.905</v>
      </c>
      <c r="D21" s="19">
        <v>1303</v>
      </c>
      <c r="E21" s="19">
        <v>1381.547</v>
      </c>
      <c r="F21" s="59">
        <f t="shared" si="9"/>
        <v>0.19621477162293477</v>
      </c>
      <c r="G21" s="59">
        <f t="shared" si="10"/>
        <v>-5.5330007674597059E-2</v>
      </c>
      <c r="H21" s="60">
        <f t="shared" si="11"/>
        <v>0.12238312461156631</v>
      </c>
      <c r="I21" s="11">
        <v>71.11099999999999</v>
      </c>
      <c r="J21" s="19">
        <v>90.222999999999942</v>
      </c>
      <c r="K21" s="19">
        <v>60</v>
      </c>
      <c r="L21" s="19">
        <v>80.319000000000131</v>
      </c>
      <c r="M21" s="59">
        <f t="shared" si="12"/>
        <v>0.26876291994206181</v>
      </c>
      <c r="N21" s="59">
        <f t="shared" si="13"/>
        <v>0.5037166666666657</v>
      </c>
      <c r="O21" s="60">
        <f t="shared" si="14"/>
        <v>-0.10977245270052893</v>
      </c>
      <c r="P21" s="11">
        <v>150.81097</v>
      </c>
      <c r="Q21" s="19">
        <v>91.545999999999935</v>
      </c>
      <c r="R21" s="19">
        <v>61</v>
      </c>
      <c r="S21" s="19">
        <v>100.65600000000013</v>
      </c>
      <c r="T21" s="59">
        <f t="shared" si="15"/>
        <v>-0.39297519271973425</v>
      </c>
      <c r="U21" s="59">
        <f t="shared" si="16"/>
        <v>0.50075409836065465</v>
      </c>
      <c r="V21" s="60">
        <f t="shared" si="17"/>
        <v>9.9512813230509201E-2</v>
      </c>
      <c r="W21" s="11">
        <v>72.11099999999999</v>
      </c>
      <c r="X21" s="19">
        <v>95.987999999999943</v>
      </c>
      <c r="Y21" s="19">
        <v>61</v>
      </c>
      <c r="Z21" s="19">
        <v>85.789000000000129</v>
      </c>
      <c r="AA21" s="59">
        <f t="shared" si="18"/>
        <v>0.33111453176353067</v>
      </c>
      <c r="AB21" s="59">
        <f t="shared" si="19"/>
        <v>0.57357377049180225</v>
      </c>
      <c r="AC21" s="60">
        <f t="shared" si="20"/>
        <v>-0.10625286494144914</v>
      </c>
      <c r="AD21" s="52">
        <v>60.63</v>
      </c>
      <c r="AE21" s="45">
        <v>50</v>
      </c>
      <c r="AF21" s="81">
        <v>46</v>
      </c>
      <c r="AG21" s="148">
        <v>27.928602739726028</v>
      </c>
      <c r="AH21" s="149">
        <v>46</v>
      </c>
      <c r="AI21" s="150">
        <v>49.5</v>
      </c>
      <c r="AJ21" s="148">
        <v>27.058602739726027</v>
      </c>
      <c r="AK21" s="149">
        <v>45</v>
      </c>
      <c r="AL21" s="150">
        <v>48.5</v>
      </c>
      <c r="AM21" s="148">
        <v>22.918657534246577</v>
      </c>
      <c r="AN21" s="149">
        <v>38</v>
      </c>
      <c r="AO21" s="150">
        <v>38</v>
      </c>
    </row>
    <row r="22" spans="1:41" ht="15.75" thickBot="1" x14ac:dyDescent="0.3">
      <c r="A22" s="10" t="s">
        <v>30</v>
      </c>
      <c r="B22" s="12">
        <v>11813.50798</v>
      </c>
      <c r="C22" s="29">
        <v>11139.502861064964</v>
      </c>
      <c r="D22" s="29">
        <v>13297.328782524401</v>
      </c>
      <c r="E22" s="29">
        <v>11219.643936576009</v>
      </c>
      <c r="F22" s="61">
        <f t="shared" si="9"/>
        <v>-5.7053765915772936E-2</v>
      </c>
      <c r="G22" s="61">
        <f t="shared" si="10"/>
        <v>-0.16227514238012164</v>
      </c>
      <c r="H22" s="62">
        <f t="shared" si="11"/>
        <v>7.1943134725658275E-3</v>
      </c>
      <c r="I22" s="12">
        <v>-1199.3660600000017</v>
      </c>
      <c r="J22" s="29">
        <v>-1100.1643948068088</v>
      </c>
      <c r="K22" s="29">
        <v>-816.79501210569879</v>
      </c>
      <c r="L22" s="29">
        <v>-630.1124830749169</v>
      </c>
      <c r="M22" s="61">
        <f t="shared" si="12"/>
        <v>8.2711749566427351E-2</v>
      </c>
      <c r="N22" s="61">
        <f t="shared" si="13"/>
        <v>-0.34692839513133578</v>
      </c>
      <c r="O22" s="62">
        <f t="shared" si="14"/>
        <v>0.42725606641217839</v>
      </c>
      <c r="P22" s="12">
        <v>-1163.71883</v>
      </c>
      <c r="Q22" s="29">
        <v>-911.03378480680874</v>
      </c>
      <c r="R22" s="29">
        <v>-780.14471920707467</v>
      </c>
      <c r="S22" s="29">
        <v>-592.97252307491681</v>
      </c>
      <c r="T22" s="61">
        <f t="shared" si="15"/>
        <v>0.2171358223989478</v>
      </c>
      <c r="U22" s="61">
        <f t="shared" si="16"/>
        <v>-0.16777536574594443</v>
      </c>
      <c r="V22" s="62">
        <f t="shared" si="17"/>
        <v>0.34912125876796007</v>
      </c>
      <c r="W22" s="12">
        <v>-1462.7978600000015</v>
      </c>
      <c r="X22" s="29">
        <v>-1294.6201916998323</v>
      </c>
      <c r="Y22" s="29">
        <v>-1195.5160721056989</v>
      </c>
      <c r="Z22" s="29">
        <v>-855.95938997135181</v>
      </c>
      <c r="AA22" s="61">
        <f t="shared" si="18"/>
        <v>0.11496986213814198</v>
      </c>
      <c r="AB22" s="61">
        <f t="shared" si="19"/>
        <v>-8.2896518002956165E-2</v>
      </c>
      <c r="AC22" s="62">
        <f t="shared" si="20"/>
        <v>0.33883358574264177</v>
      </c>
      <c r="AD22" s="84">
        <v>155.79811999999998</v>
      </c>
      <c r="AE22" s="38">
        <v>96.5</v>
      </c>
      <c r="AF22" s="39">
        <v>156</v>
      </c>
      <c r="AG22" s="151">
        <v>160.33109999999999</v>
      </c>
      <c r="AH22" s="152">
        <v>153.6370751</v>
      </c>
      <c r="AI22" s="153">
        <v>151.6370751</v>
      </c>
      <c r="AJ22" s="151">
        <v>111.2363</v>
      </c>
      <c r="AK22" s="152">
        <v>108.04259999999999</v>
      </c>
      <c r="AL22" s="153">
        <v>108.04259999999999</v>
      </c>
      <c r="AM22" s="151">
        <v>15.9696</v>
      </c>
      <c r="AN22" s="152">
        <v>15</v>
      </c>
      <c r="AO22" s="153">
        <v>15</v>
      </c>
    </row>
    <row r="23" spans="1:41" ht="16.2" thickBot="1" x14ac:dyDescent="0.35">
      <c r="A23" s="4" t="s">
        <v>31</v>
      </c>
      <c r="B23" s="5">
        <f>SUM(B24:B27)</f>
        <v>75059.116099999999</v>
      </c>
      <c r="C23" s="6">
        <f>SUM(C24:C27)</f>
        <v>48442.882248244809</v>
      </c>
      <c r="D23" s="6">
        <f t="shared" ref="D23:E23" si="41">SUM(D24:D27)</f>
        <v>75836.139066546602</v>
      </c>
      <c r="E23" s="6">
        <f t="shared" si="41"/>
        <v>48472.018982566675</v>
      </c>
      <c r="F23" s="54">
        <f t="shared" si="9"/>
        <v>-0.35460361425379472</v>
      </c>
      <c r="G23" s="54">
        <f t="shared" si="10"/>
        <v>-0.36121639571160225</v>
      </c>
      <c r="H23" s="55">
        <f t="shared" si="11"/>
        <v>6.0146574624853066E-4</v>
      </c>
      <c r="I23" s="5">
        <f>SUM(I24:I27)</f>
        <v>1208.7698200000004</v>
      </c>
      <c r="J23" s="6">
        <f t="shared" ref="J23:L23" si="42">SUM(J24:J27)</f>
        <v>1126.5441742682669</v>
      </c>
      <c r="K23" s="6">
        <f t="shared" si="42"/>
        <v>1604.7584062561928</v>
      </c>
      <c r="L23" s="6">
        <f t="shared" si="42"/>
        <v>1228.038174720185</v>
      </c>
      <c r="M23" s="54">
        <f t="shared" si="12"/>
        <v>-6.8024237841852742E-2</v>
      </c>
      <c r="N23" s="54">
        <f t="shared" si="13"/>
        <v>-0.29799764881965729</v>
      </c>
      <c r="O23" s="55">
        <f t="shared" si="14"/>
        <v>9.0093227385284136E-2</v>
      </c>
      <c r="P23" s="5">
        <f>SUM(P24:P27)</f>
        <v>744.15079999999989</v>
      </c>
      <c r="Q23" s="6">
        <f t="shared" ref="Q23:S23" si="43">SUM(Q24:Q27)</f>
        <v>1142.3702542682668</v>
      </c>
      <c r="R23" s="6">
        <f t="shared" si="43"/>
        <v>1422.7581973692627</v>
      </c>
      <c r="S23" s="6">
        <f t="shared" si="43"/>
        <v>1396.0781747201852</v>
      </c>
      <c r="T23" s="54">
        <f t="shared" si="15"/>
        <v>0.53513273689723495</v>
      </c>
      <c r="U23" s="54">
        <f t="shared" si="16"/>
        <v>-0.19707350385992828</v>
      </c>
      <c r="V23" s="55">
        <f t="shared" si="17"/>
        <v>0.22208904644005134</v>
      </c>
      <c r="W23" s="5">
        <f>SUM(W24:W27)</f>
        <v>1306.4217200000003</v>
      </c>
      <c r="X23" s="6">
        <f t="shared" ref="X23:Z23" si="44">SUM(X24:X27)</f>
        <v>1160.5631742682667</v>
      </c>
      <c r="Y23" s="6">
        <f t="shared" si="44"/>
        <v>1771.0178662565929</v>
      </c>
      <c r="Z23" s="6">
        <f t="shared" si="44"/>
        <v>1224.5611747201851</v>
      </c>
      <c r="AA23" s="54">
        <f t="shared" si="18"/>
        <v>-0.11164736738434933</v>
      </c>
      <c r="AB23" s="54">
        <f t="shared" si="19"/>
        <v>-0.34469143627480536</v>
      </c>
      <c r="AC23" s="55">
        <f t="shared" si="20"/>
        <v>5.5143917945069232E-2</v>
      </c>
      <c r="AD23" s="5">
        <f t="shared" ref="AD23:AF23" si="45">SUM(AD24:AD27)</f>
        <v>858.73099999999999</v>
      </c>
      <c r="AE23" s="6">
        <f t="shared" si="45"/>
        <v>952</v>
      </c>
      <c r="AF23" s="7">
        <f t="shared" si="45"/>
        <v>836.8</v>
      </c>
      <c r="AG23" s="129">
        <f t="shared" ref="AG23:AI23" si="46">SUM(AG24:AG27)</f>
        <v>512.30967123287678</v>
      </c>
      <c r="AH23" s="130">
        <f t="shared" ref="AH23" si="47">SUM(AH24:AH27)</f>
        <v>503.2</v>
      </c>
      <c r="AI23" s="131">
        <f t="shared" si="46"/>
        <v>517.6</v>
      </c>
      <c r="AJ23" s="129">
        <f t="shared" ref="AJ23:AL23" si="48">SUM(AJ24:AJ27)</f>
        <v>400.82905068493153</v>
      </c>
      <c r="AK23" s="130">
        <f t="shared" si="48"/>
        <v>434.2</v>
      </c>
      <c r="AL23" s="131">
        <f t="shared" si="48"/>
        <v>448.6</v>
      </c>
      <c r="AM23" s="129">
        <f t="shared" ref="AM23:AO23" si="49">SUM(AM24:AM27)</f>
        <v>38.457987671232878</v>
      </c>
      <c r="AN23" s="130">
        <f t="shared" si="49"/>
        <v>32.5</v>
      </c>
      <c r="AO23" s="131">
        <f t="shared" si="49"/>
        <v>32</v>
      </c>
    </row>
    <row r="24" spans="1:41" ht="15" x14ac:dyDescent="0.25">
      <c r="A24" s="8" t="s">
        <v>32</v>
      </c>
      <c r="B24" s="11">
        <v>38623.116099999999</v>
      </c>
      <c r="C24" s="19">
        <v>39416.387248244806</v>
      </c>
      <c r="D24" s="19">
        <v>40862.139066546595</v>
      </c>
      <c r="E24" s="19">
        <v>39460.77898256667</v>
      </c>
      <c r="F24" s="59">
        <f t="shared" si="9"/>
        <v>2.0538766115891116E-2</v>
      </c>
      <c r="G24" s="59">
        <f t="shared" si="10"/>
        <v>-3.5381207428893835E-2</v>
      </c>
      <c r="H24" s="60">
        <f t="shared" si="11"/>
        <v>1.126225344861842E-3</v>
      </c>
      <c r="I24" s="11">
        <v>769.76982000000044</v>
      </c>
      <c r="J24" s="19">
        <v>736.25617426826864</v>
      </c>
      <c r="K24" s="19">
        <v>788.75840625619287</v>
      </c>
      <c r="L24" s="19">
        <v>783.51217472018425</v>
      </c>
      <c r="M24" s="59">
        <f t="shared" si="12"/>
        <v>-4.3537230040704644E-2</v>
      </c>
      <c r="N24" s="59">
        <f t="shared" si="13"/>
        <v>-6.6563134632217413E-2</v>
      </c>
      <c r="O24" s="60">
        <f t="shared" si="14"/>
        <v>6.4184182222826403E-2</v>
      </c>
      <c r="P24" s="11">
        <v>695.94178999999997</v>
      </c>
      <c r="Q24" s="19">
        <v>778.98225426826855</v>
      </c>
      <c r="R24" s="19">
        <v>788.75819736926269</v>
      </c>
      <c r="S24" s="19">
        <v>963.51217472018425</v>
      </c>
      <c r="T24" s="59">
        <f t="shared" si="15"/>
        <v>0.11932099129766094</v>
      </c>
      <c r="U24" s="59">
        <f t="shared" si="16"/>
        <v>-1.2394093821908592E-2</v>
      </c>
      <c r="V24" s="60">
        <f t="shared" si="17"/>
        <v>0.23688591035395601</v>
      </c>
      <c r="W24" s="11">
        <v>1129.4217200000003</v>
      </c>
      <c r="X24" s="19">
        <v>832.02417426826867</v>
      </c>
      <c r="Y24" s="19">
        <v>1206.0178662565929</v>
      </c>
      <c r="Z24" s="19">
        <v>879.99217472018427</v>
      </c>
      <c r="AA24" s="59">
        <f t="shared" si="18"/>
        <v>-0.26331842257445837</v>
      </c>
      <c r="AB24" s="59">
        <f t="shared" si="19"/>
        <v>-0.31010626165031718</v>
      </c>
      <c r="AC24" s="60">
        <f t="shared" si="20"/>
        <v>5.7652171577948996E-2</v>
      </c>
      <c r="AD24" s="11">
        <v>675</v>
      </c>
      <c r="AE24" s="19">
        <v>795</v>
      </c>
      <c r="AF24" s="20">
        <v>796.8</v>
      </c>
      <c r="AG24" s="135">
        <v>379.89400000000001</v>
      </c>
      <c r="AH24" s="136">
        <v>420.7</v>
      </c>
      <c r="AI24" s="137">
        <v>435.6</v>
      </c>
      <c r="AJ24" s="135">
        <v>352.35390000000001</v>
      </c>
      <c r="AK24" s="136">
        <v>394.7</v>
      </c>
      <c r="AL24" s="137">
        <v>409.6</v>
      </c>
      <c r="AM24" s="135">
        <v>6.8026999999999997</v>
      </c>
      <c r="AN24" s="136">
        <v>6</v>
      </c>
      <c r="AO24" s="137">
        <v>6</v>
      </c>
    </row>
    <row r="25" spans="1:41" ht="15" x14ac:dyDescent="0.25">
      <c r="A25" s="10" t="s">
        <v>33</v>
      </c>
      <c r="B25" s="11">
        <v>26979</v>
      </c>
      <c r="C25" s="45">
        <v>0</v>
      </c>
      <c r="D25" s="19">
        <v>25520</v>
      </c>
      <c r="E25" s="19">
        <v>0</v>
      </c>
      <c r="F25" s="59" t="str">
        <f t="shared" si="9"/>
        <v>N/A</v>
      </c>
      <c r="G25" s="59" t="str">
        <f t="shared" si="10"/>
        <v>N/A</v>
      </c>
      <c r="H25" s="60" t="str">
        <f t="shared" si="11"/>
        <v>N/A</v>
      </c>
      <c r="I25" s="11">
        <v>199</v>
      </c>
      <c r="J25" s="19">
        <v>0</v>
      </c>
      <c r="K25" s="19">
        <v>1</v>
      </c>
      <c r="L25" s="19">
        <v>0</v>
      </c>
      <c r="M25" s="59" t="str">
        <f t="shared" si="12"/>
        <v>N/A</v>
      </c>
      <c r="N25" s="59" t="str">
        <f t="shared" si="13"/>
        <v>N/A</v>
      </c>
      <c r="O25" s="60" t="str">
        <f t="shared" si="14"/>
        <v>N/A</v>
      </c>
      <c r="P25" s="11">
        <v>0</v>
      </c>
      <c r="Q25" s="19">
        <v>0</v>
      </c>
      <c r="R25" s="19">
        <v>0</v>
      </c>
      <c r="S25" s="19">
        <v>0</v>
      </c>
      <c r="T25" s="59" t="str">
        <f t="shared" si="15"/>
        <v>N/A</v>
      </c>
      <c r="U25" s="59" t="str">
        <f t="shared" si="16"/>
        <v>N/A</v>
      </c>
      <c r="V25" s="60" t="str">
        <f t="shared" si="17"/>
        <v>N/A</v>
      </c>
      <c r="W25" s="11">
        <v>202</v>
      </c>
      <c r="X25" s="19">
        <v>0</v>
      </c>
      <c r="Y25" s="19">
        <v>7</v>
      </c>
      <c r="Z25" s="19">
        <v>0</v>
      </c>
      <c r="AA25" s="59" t="str">
        <f t="shared" si="18"/>
        <v>N/A</v>
      </c>
      <c r="AB25" s="59" t="str">
        <f t="shared" si="19"/>
        <v>N/A</v>
      </c>
      <c r="AC25" s="60" t="str">
        <f t="shared" si="20"/>
        <v>N/A</v>
      </c>
      <c r="AD25" s="105"/>
      <c r="AE25" s="45">
        <v>57</v>
      </c>
      <c r="AF25" s="107"/>
      <c r="AG25" s="135">
        <v>50.829561643835618</v>
      </c>
      <c r="AH25" s="156">
        <v>0</v>
      </c>
      <c r="AI25" s="140">
        <v>0</v>
      </c>
      <c r="AJ25" s="135">
        <v>10.218493150684932</v>
      </c>
      <c r="AK25" s="156">
        <v>0</v>
      </c>
      <c r="AL25" s="140">
        <v>0</v>
      </c>
      <c r="AM25" s="135">
        <v>5.8123287671232866</v>
      </c>
      <c r="AN25" s="156">
        <v>0</v>
      </c>
      <c r="AO25" s="140">
        <v>0</v>
      </c>
    </row>
    <row r="26" spans="1:41" x14ac:dyDescent="0.3">
      <c r="A26" s="10" t="s">
        <v>34</v>
      </c>
      <c r="B26" s="11">
        <v>1758</v>
      </c>
      <c r="C26" s="45">
        <v>1843.3029999999999</v>
      </c>
      <c r="D26" s="19">
        <v>2029</v>
      </c>
      <c r="E26" s="19">
        <v>1896.472</v>
      </c>
      <c r="F26" s="59">
        <f t="shared" si="9"/>
        <v>4.852275312855503E-2</v>
      </c>
      <c r="G26" s="59">
        <f t="shared" si="10"/>
        <v>-9.1521439132577709E-2</v>
      </c>
      <c r="H26" s="60">
        <f t="shared" si="11"/>
        <v>2.8844416788775362E-2</v>
      </c>
      <c r="I26" s="11">
        <v>173</v>
      </c>
      <c r="J26" s="19">
        <v>181.5139999999999</v>
      </c>
      <c r="K26" s="19">
        <v>203</v>
      </c>
      <c r="L26" s="19">
        <v>165.05599999999993</v>
      </c>
      <c r="M26" s="59">
        <f t="shared" si="12"/>
        <v>4.9213872832369443E-2</v>
      </c>
      <c r="N26" s="59">
        <f t="shared" si="13"/>
        <v>-0.10584236453202023</v>
      </c>
      <c r="O26" s="60">
        <f t="shared" si="14"/>
        <v>-9.0670692067829406E-2</v>
      </c>
      <c r="P26" s="11">
        <v>237.25304</v>
      </c>
      <c r="Q26" s="19">
        <v>181.5139999999999</v>
      </c>
      <c r="R26" s="19">
        <v>49</v>
      </c>
      <c r="S26" s="19">
        <v>180.05599999999993</v>
      </c>
      <c r="T26" s="59">
        <f t="shared" si="15"/>
        <v>-0.23493498755590281</v>
      </c>
      <c r="U26" s="59">
        <f t="shared" si="16"/>
        <v>2.7043673469387732</v>
      </c>
      <c r="V26" s="60">
        <f t="shared" si="17"/>
        <v>-8.0324382692242846E-3</v>
      </c>
      <c r="W26" s="11">
        <v>186</v>
      </c>
      <c r="X26" s="19">
        <v>257.30199999999991</v>
      </c>
      <c r="Y26" s="19">
        <v>219</v>
      </c>
      <c r="Z26" s="19">
        <v>240.41599999999994</v>
      </c>
      <c r="AA26" s="59">
        <f t="shared" si="18"/>
        <v>0.38334408602150494</v>
      </c>
      <c r="AB26" s="59">
        <f t="shared" si="19"/>
        <v>0.17489497716894942</v>
      </c>
      <c r="AC26" s="60">
        <f t="shared" si="20"/>
        <v>-6.562716185649542E-2</v>
      </c>
      <c r="AD26" s="11">
        <v>15.145</v>
      </c>
      <c r="AE26" s="45">
        <v>40</v>
      </c>
      <c r="AF26" s="20">
        <v>0</v>
      </c>
      <c r="AG26" s="135">
        <v>46.560191780821917</v>
      </c>
      <c r="AH26" s="149">
        <v>47.5</v>
      </c>
      <c r="AI26" s="137">
        <v>47</v>
      </c>
      <c r="AJ26" s="135">
        <v>36.842958904109587</v>
      </c>
      <c r="AK26" s="149">
        <v>37.5</v>
      </c>
      <c r="AL26" s="137">
        <v>37</v>
      </c>
      <c r="AM26" s="135">
        <v>25.842958904109594</v>
      </c>
      <c r="AN26" s="149">
        <v>26.5</v>
      </c>
      <c r="AO26" s="137">
        <v>26</v>
      </c>
    </row>
    <row r="27" spans="1:41" ht="15.75" thickBot="1" x14ac:dyDescent="0.3">
      <c r="A27" s="18" t="s">
        <v>70</v>
      </c>
      <c r="B27" s="12">
        <v>7699</v>
      </c>
      <c r="C27" s="38">
        <v>7183.192</v>
      </c>
      <c r="D27" s="29">
        <v>7425</v>
      </c>
      <c r="E27" s="29">
        <v>7114.768</v>
      </c>
      <c r="F27" s="61">
        <f t="shared" si="9"/>
        <v>-6.6996752825042249E-2</v>
      </c>
      <c r="G27" s="61">
        <f t="shared" si="10"/>
        <v>-3.2566734006734044E-2</v>
      </c>
      <c r="H27" s="62">
        <f t="shared" si="11"/>
        <v>-9.5255702478787008E-3</v>
      </c>
      <c r="I27" s="12">
        <v>67</v>
      </c>
      <c r="J27" s="29">
        <v>208.77399999999838</v>
      </c>
      <c r="K27" s="29">
        <v>612</v>
      </c>
      <c r="L27" s="29">
        <v>279.47000000000094</v>
      </c>
      <c r="M27" s="61">
        <f t="shared" si="12"/>
        <v>2.1160298507462443</v>
      </c>
      <c r="N27" s="61">
        <f t="shared" si="13"/>
        <v>-0.65886601307189807</v>
      </c>
      <c r="O27" s="62">
        <f t="shared" si="14"/>
        <v>0.33862454137010878</v>
      </c>
      <c r="P27" s="12">
        <v>-189.04402999999999</v>
      </c>
      <c r="Q27" s="29">
        <v>181.87399999999838</v>
      </c>
      <c r="R27" s="126">
        <v>585</v>
      </c>
      <c r="S27" s="29">
        <v>252.51000000000093</v>
      </c>
      <c r="T27" s="61">
        <f t="shared" si="15"/>
        <v>1.962072169113187</v>
      </c>
      <c r="U27" s="61">
        <f t="shared" si="16"/>
        <v>-0.68910427350427628</v>
      </c>
      <c r="V27" s="62">
        <f t="shared" si="17"/>
        <v>0.38837876771832791</v>
      </c>
      <c r="W27" s="12">
        <v>-211</v>
      </c>
      <c r="X27" s="29">
        <v>71.236999999998375</v>
      </c>
      <c r="Y27" s="29">
        <v>339</v>
      </c>
      <c r="Z27" s="29">
        <v>104.15300000000093</v>
      </c>
      <c r="AA27" s="61">
        <f t="shared" si="18"/>
        <v>1.3376161137440681</v>
      </c>
      <c r="AB27" s="61">
        <f t="shared" si="19"/>
        <v>-0.7898613569321582</v>
      </c>
      <c r="AC27" s="62">
        <f t="shared" si="20"/>
        <v>0.46206325364632583</v>
      </c>
      <c r="AD27" s="12">
        <v>168.58600000000001</v>
      </c>
      <c r="AE27" s="38">
        <v>60</v>
      </c>
      <c r="AF27" s="30">
        <v>40</v>
      </c>
      <c r="AG27" s="145">
        <v>35.025917808219177</v>
      </c>
      <c r="AH27" s="152">
        <v>35</v>
      </c>
      <c r="AI27" s="147">
        <v>35</v>
      </c>
      <c r="AJ27" s="145">
        <v>1.413698630136986</v>
      </c>
      <c r="AK27" s="152">
        <v>2</v>
      </c>
      <c r="AL27" s="147">
        <v>2</v>
      </c>
      <c r="AM27" s="145">
        <v>0</v>
      </c>
      <c r="AN27" s="152">
        <v>0</v>
      </c>
      <c r="AO27" s="147">
        <v>0</v>
      </c>
    </row>
    <row r="28" spans="1:41" ht="16.2" thickBot="1" x14ac:dyDescent="0.35">
      <c r="A28" s="4" t="s">
        <v>36</v>
      </c>
      <c r="B28" s="5">
        <f>SUM(B29:B31)</f>
        <v>8893.6251300000004</v>
      </c>
      <c r="C28" s="6">
        <f t="shared" ref="C28:E28" si="50">SUM(C29:C31)</f>
        <v>9871.3884805615271</v>
      </c>
      <c r="D28" s="6">
        <f t="shared" si="50"/>
        <v>9575.4396451887005</v>
      </c>
      <c r="E28" s="6">
        <f t="shared" si="50"/>
        <v>14549.338322568477</v>
      </c>
      <c r="F28" s="54">
        <f t="shared" si="9"/>
        <v>0.10993979803166343</v>
      </c>
      <c r="G28" s="54">
        <f t="shared" si="10"/>
        <v>3.0907075428283859E-2</v>
      </c>
      <c r="H28" s="55">
        <f t="shared" si="11"/>
        <v>0.47388975230978336</v>
      </c>
      <c r="I28" s="5">
        <f>SUM(I29:I31)</f>
        <v>-1230.32429</v>
      </c>
      <c r="J28" s="6">
        <f t="shared" ref="J28:L28" si="51">SUM(J29:J31)</f>
        <v>70.905308027237226</v>
      </c>
      <c r="K28" s="6">
        <f t="shared" si="51"/>
        <v>-1193.9885365213008</v>
      </c>
      <c r="L28" s="6">
        <f t="shared" si="51"/>
        <v>26.002217640058035</v>
      </c>
      <c r="M28" s="54">
        <f t="shared" si="12"/>
        <v>1.0576313973507239</v>
      </c>
      <c r="N28" s="54">
        <f t="shared" si="13"/>
        <v>1.0593852502418664</v>
      </c>
      <c r="O28" s="55">
        <f t="shared" si="14"/>
        <v>-0.63328249515438717</v>
      </c>
      <c r="P28" s="5">
        <f>SUM(P29:P31)</f>
        <v>-9.6680500000000027</v>
      </c>
      <c r="Q28" s="6">
        <f t="shared" ref="Q28:S28" si="52">SUM(Q29:Q31)</f>
        <v>201.55630802723718</v>
      </c>
      <c r="R28" s="6">
        <f t="shared" si="52"/>
        <v>-365.05021319060046</v>
      </c>
      <c r="S28" s="6">
        <f t="shared" si="52"/>
        <v>26.002217640058035</v>
      </c>
      <c r="T28" s="54">
        <f t="shared" si="15"/>
        <v>21.847669181193428</v>
      </c>
      <c r="U28" s="54">
        <f t="shared" si="16"/>
        <v>1.5521331059242538</v>
      </c>
      <c r="V28" s="55">
        <f t="shared" si="17"/>
        <v>-0.87099278660857271</v>
      </c>
      <c r="W28" s="5">
        <f>SUM(W29:W31)</f>
        <v>-1468.0474199999999</v>
      </c>
      <c r="X28" s="6">
        <f t="shared" ref="X28:Z28" si="53">SUM(X29:X31)</f>
        <v>15.15830802723724</v>
      </c>
      <c r="Y28" s="6">
        <f t="shared" si="53"/>
        <v>-1584.145246521701</v>
      </c>
      <c r="Z28" s="6">
        <f t="shared" si="53"/>
        <v>-58.496159769565196</v>
      </c>
      <c r="AA28" s="54">
        <f t="shared" si="18"/>
        <v>1.0103254893682094</v>
      </c>
      <c r="AB28" s="54">
        <f t="shared" si="19"/>
        <v>1.009568761488582</v>
      </c>
      <c r="AC28" s="55">
        <f t="shared" si="20"/>
        <v>-4.8590164327348564</v>
      </c>
      <c r="AD28" s="5">
        <f t="shared" ref="AD28:AF28" si="54">SUM(AD29:AD31)</f>
        <v>42.480000000000004</v>
      </c>
      <c r="AE28" s="6">
        <f t="shared" si="54"/>
        <v>154</v>
      </c>
      <c r="AF28" s="7">
        <f t="shared" si="54"/>
        <v>90.5</v>
      </c>
      <c r="AG28" s="129">
        <f t="shared" ref="AG28:AI28" si="55">SUM(AG29:AG31)</f>
        <v>185.02770000000001</v>
      </c>
      <c r="AH28" s="130">
        <f t="shared" ref="AH28" si="56">SUM(AH29:AH31)</f>
        <v>273.36</v>
      </c>
      <c r="AI28" s="131">
        <f t="shared" si="55"/>
        <v>449.79</v>
      </c>
      <c r="AJ28" s="129">
        <f t="shared" ref="AJ28:AL28" si="57">SUM(AJ29:AJ31)</f>
        <v>81.239499999999992</v>
      </c>
      <c r="AK28" s="130">
        <f t="shared" si="57"/>
        <v>71</v>
      </c>
      <c r="AL28" s="131">
        <f t="shared" si="57"/>
        <v>115</v>
      </c>
      <c r="AM28" s="129">
        <f t="shared" ref="AM28:AO28" si="58">SUM(AM29:AM31)</f>
        <v>25.473800000000001</v>
      </c>
      <c r="AN28" s="130">
        <f t="shared" si="58"/>
        <v>17</v>
      </c>
      <c r="AO28" s="131">
        <f t="shared" si="58"/>
        <v>18</v>
      </c>
    </row>
    <row r="29" spans="1:41" x14ac:dyDescent="0.3">
      <c r="A29" s="8" t="s">
        <v>37</v>
      </c>
      <c r="B29" s="11">
        <v>0</v>
      </c>
      <c r="C29" s="45">
        <v>4030.2439999999997</v>
      </c>
      <c r="D29" s="19">
        <v>0</v>
      </c>
      <c r="E29" s="19">
        <v>7785</v>
      </c>
      <c r="F29" s="59" t="str">
        <f t="shared" si="9"/>
        <v>N/A</v>
      </c>
      <c r="G29" s="59" t="str">
        <f t="shared" si="10"/>
        <v>N/A</v>
      </c>
      <c r="H29" s="60">
        <f t="shared" si="11"/>
        <v>0.93164483341455262</v>
      </c>
      <c r="I29" s="11">
        <v>0</v>
      </c>
      <c r="J29" s="19">
        <v>-31.159000000000333</v>
      </c>
      <c r="K29" s="19">
        <v>0</v>
      </c>
      <c r="L29" s="19">
        <v>-230.48400000000024</v>
      </c>
      <c r="M29" s="59" t="str">
        <f t="shared" si="12"/>
        <v>N/A</v>
      </c>
      <c r="N29" s="59" t="str">
        <f t="shared" si="13"/>
        <v>N/A</v>
      </c>
      <c r="O29" s="60">
        <f t="shared" si="14"/>
        <v>-6.3970281459609675</v>
      </c>
      <c r="P29" s="11">
        <v>0</v>
      </c>
      <c r="Q29" s="19">
        <v>-31.334000000000334</v>
      </c>
      <c r="R29" s="19">
        <v>0</v>
      </c>
      <c r="S29" s="19">
        <v>-230.48400000000024</v>
      </c>
      <c r="T29" s="59" t="str">
        <f t="shared" si="15"/>
        <v>N/A</v>
      </c>
      <c r="U29" s="59" t="str">
        <f t="shared" si="16"/>
        <v>N/A</v>
      </c>
      <c r="V29" s="60">
        <f t="shared" si="17"/>
        <v>-6.3557158358332098</v>
      </c>
      <c r="W29" s="11">
        <v>0</v>
      </c>
      <c r="X29" s="19">
        <v>-52.527000000000328</v>
      </c>
      <c r="Y29" s="19">
        <v>0</v>
      </c>
      <c r="Z29" s="19">
        <v>-288.03900000000021</v>
      </c>
      <c r="AA29" s="59" t="str">
        <f t="shared" si="18"/>
        <v>N/A</v>
      </c>
      <c r="AB29" s="59" t="str">
        <f t="shared" si="19"/>
        <v>N/A</v>
      </c>
      <c r="AC29" s="60">
        <f t="shared" si="20"/>
        <v>-4.4836369866925283</v>
      </c>
      <c r="AD29" s="52">
        <v>29.48</v>
      </c>
      <c r="AE29" s="45"/>
      <c r="AF29" s="81">
        <v>10.5</v>
      </c>
      <c r="AG29" s="148">
        <v>0</v>
      </c>
      <c r="AH29" s="149">
        <v>166.36</v>
      </c>
      <c r="AI29" s="150">
        <v>336.79</v>
      </c>
      <c r="AJ29" s="148">
        <v>0</v>
      </c>
      <c r="AK29" s="149">
        <v>22</v>
      </c>
      <c r="AL29" s="150">
        <v>62</v>
      </c>
      <c r="AM29" s="148">
        <v>0</v>
      </c>
      <c r="AN29" s="149">
        <v>0</v>
      </c>
      <c r="AO29" s="150">
        <v>0</v>
      </c>
    </row>
    <row r="30" spans="1:41" x14ac:dyDescent="0.3">
      <c r="A30" s="21" t="s">
        <v>71</v>
      </c>
      <c r="B30" s="11">
        <v>4942.4265300000006</v>
      </c>
      <c r="C30" s="19">
        <v>5841.1444805615265</v>
      </c>
      <c r="D30" s="19">
        <v>5102.7398678036998</v>
      </c>
      <c r="E30" s="19">
        <v>6764.3383225684784</v>
      </c>
      <c r="F30" s="59">
        <f t="shared" si="9"/>
        <v>0.18183739203939675</v>
      </c>
      <c r="G30" s="59">
        <f t="shared" si="10"/>
        <v>0.14470747713730669</v>
      </c>
      <c r="H30" s="60">
        <f t="shared" si="11"/>
        <v>0.15805016381279491</v>
      </c>
      <c r="I30" s="11">
        <v>-107.93138999999945</v>
      </c>
      <c r="J30" s="19">
        <v>102.06430802723756</v>
      </c>
      <c r="K30" s="19">
        <v>-365.0502113685011</v>
      </c>
      <c r="L30" s="19">
        <v>256.48621764005827</v>
      </c>
      <c r="M30" s="59">
        <f t="shared" si="12"/>
        <v>1.9456406336213967</v>
      </c>
      <c r="N30" s="59">
        <f t="shared" si="13"/>
        <v>1.2795897792926036</v>
      </c>
      <c r="O30" s="60">
        <f t="shared" si="14"/>
        <v>1.512986396494362</v>
      </c>
      <c r="P30" s="11">
        <v>-9.6680500000000027</v>
      </c>
      <c r="Q30" s="19">
        <v>232.89030802723752</v>
      </c>
      <c r="R30" s="19">
        <v>-365.05021319060046</v>
      </c>
      <c r="S30" s="19">
        <v>256.48621764005827</v>
      </c>
      <c r="T30" s="59">
        <f t="shared" si="15"/>
        <v>25.088653661000663</v>
      </c>
      <c r="U30" s="59">
        <f t="shared" si="16"/>
        <v>1.6379678729447571</v>
      </c>
      <c r="V30" s="60">
        <f t="shared" si="17"/>
        <v>0.1013176967847933</v>
      </c>
      <c r="W30" s="11">
        <v>-163.09062999999946</v>
      </c>
      <c r="X30" s="19">
        <v>67.685308027237568</v>
      </c>
      <c r="Y30" s="19">
        <v>-467.7885713685011</v>
      </c>
      <c r="Z30" s="19">
        <v>229.54284023043502</v>
      </c>
      <c r="AA30" s="59">
        <f t="shared" si="18"/>
        <v>1.4150165342254046</v>
      </c>
      <c r="AB30" s="59">
        <f t="shared" si="19"/>
        <v>1.1446920941852561</v>
      </c>
      <c r="AC30" s="60">
        <f t="shared" si="20"/>
        <v>2.3913244531304132</v>
      </c>
      <c r="AD30" s="52">
        <v>13</v>
      </c>
      <c r="AE30" s="45">
        <v>140</v>
      </c>
      <c r="AF30" s="81">
        <v>80</v>
      </c>
      <c r="AG30" s="148">
        <v>101.68350000000001</v>
      </c>
      <c r="AH30" s="149">
        <v>107</v>
      </c>
      <c r="AI30" s="150">
        <v>113</v>
      </c>
      <c r="AJ30" s="148">
        <v>48.363900000000001</v>
      </c>
      <c r="AK30" s="149">
        <v>49</v>
      </c>
      <c r="AL30" s="150">
        <v>53</v>
      </c>
      <c r="AM30" s="148">
        <v>14.950900000000001</v>
      </c>
      <c r="AN30" s="149">
        <v>17</v>
      </c>
      <c r="AO30" s="150">
        <v>18</v>
      </c>
    </row>
    <row r="31" spans="1:41" ht="15" thickBot="1" x14ac:dyDescent="0.35">
      <c r="A31" s="18" t="s">
        <v>39</v>
      </c>
      <c r="B31" s="11">
        <v>3951.1985999999997</v>
      </c>
      <c r="C31" s="19">
        <v>0</v>
      </c>
      <c r="D31" s="19">
        <v>4472.6997773849998</v>
      </c>
      <c r="E31" s="19">
        <v>0</v>
      </c>
      <c r="F31" s="59" t="str">
        <f t="shared" si="9"/>
        <v>N/A</v>
      </c>
      <c r="G31" s="59" t="str">
        <f t="shared" si="10"/>
        <v>N/A</v>
      </c>
      <c r="H31" s="60" t="str">
        <f t="shared" si="11"/>
        <v>N/A</v>
      </c>
      <c r="I31" s="11">
        <v>-1122.3929000000005</v>
      </c>
      <c r="J31" s="19">
        <v>0</v>
      </c>
      <c r="K31" s="19">
        <v>-828.93832515279985</v>
      </c>
      <c r="L31" s="19">
        <v>0</v>
      </c>
      <c r="M31" s="59" t="str">
        <f t="shared" si="12"/>
        <v>N/A</v>
      </c>
      <c r="N31" s="59" t="str">
        <f t="shared" si="13"/>
        <v>N/A</v>
      </c>
      <c r="O31" s="60" t="str">
        <f t="shared" si="14"/>
        <v>N/A</v>
      </c>
      <c r="P31" s="11">
        <v>0</v>
      </c>
      <c r="Q31" s="19">
        <v>0</v>
      </c>
      <c r="R31" s="19">
        <v>0</v>
      </c>
      <c r="S31" s="19">
        <v>0</v>
      </c>
      <c r="T31" s="59" t="str">
        <f t="shared" si="15"/>
        <v>N/A</v>
      </c>
      <c r="U31" s="59" t="str">
        <f t="shared" si="16"/>
        <v>N/A</v>
      </c>
      <c r="V31" s="60" t="str">
        <f t="shared" si="17"/>
        <v>N/A</v>
      </c>
      <c r="W31" s="11">
        <v>-1304.9567900000004</v>
      </c>
      <c r="X31" s="19">
        <v>0</v>
      </c>
      <c r="Y31" s="19">
        <v>-1116.3566751531998</v>
      </c>
      <c r="Z31" s="19">
        <v>0</v>
      </c>
      <c r="AA31" s="59" t="str">
        <f t="shared" si="18"/>
        <v>N/A</v>
      </c>
      <c r="AB31" s="59" t="str">
        <f t="shared" si="19"/>
        <v>N/A</v>
      </c>
      <c r="AC31" s="60" t="str">
        <f t="shared" si="20"/>
        <v>N/A</v>
      </c>
      <c r="AD31" s="99"/>
      <c r="AE31" s="45">
        <v>14</v>
      </c>
      <c r="AF31" s="101"/>
      <c r="AG31" s="148">
        <v>83.344200000000001</v>
      </c>
      <c r="AH31" s="156">
        <v>0</v>
      </c>
      <c r="AI31" s="154">
        <v>0</v>
      </c>
      <c r="AJ31" s="148">
        <v>32.875599999999999</v>
      </c>
      <c r="AK31" s="156">
        <v>0</v>
      </c>
      <c r="AL31" s="154">
        <v>0</v>
      </c>
      <c r="AM31" s="148">
        <v>10.5229</v>
      </c>
      <c r="AN31" s="156">
        <v>0</v>
      </c>
      <c r="AO31" s="154">
        <v>0</v>
      </c>
    </row>
    <row r="32" spans="1:41" ht="16.2" thickBot="1" x14ac:dyDescent="0.35">
      <c r="A32" s="4" t="s">
        <v>40</v>
      </c>
      <c r="B32" s="5">
        <f t="shared" ref="B32:L32" si="59">SUM(B33:B35)+B41</f>
        <v>17656.057919999999</v>
      </c>
      <c r="C32" s="6">
        <f t="shared" si="59"/>
        <v>19475.673999999999</v>
      </c>
      <c r="D32" s="6">
        <f>SUM(D33:D35)+D41</f>
        <v>27704.0000000008</v>
      </c>
      <c r="E32" s="6">
        <f t="shared" si="59"/>
        <v>28038.986000000001</v>
      </c>
      <c r="F32" s="54">
        <f t="shared" si="9"/>
        <v>0.10305902304153736</v>
      </c>
      <c r="G32" s="54">
        <f t="shared" si="10"/>
        <v>-0.29700859081723086</v>
      </c>
      <c r="H32" s="55">
        <f t="shared" si="11"/>
        <v>0.43969271615452188</v>
      </c>
      <c r="I32" s="5">
        <f t="shared" si="59"/>
        <v>-4858.8774999999996</v>
      </c>
      <c r="J32" s="6">
        <f t="shared" si="59"/>
        <v>-1747.971829999999</v>
      </c>
      <c r="K32" s="6">
        <f t="shared" si="59"/>
        <v>-4396.2925869025503</v>
      </c>
      <c r="L32" s="6">
        <f t="shared" si="59"/>
        <v>-611.70400000000336</v>
      </c>
      <c r="M32" s="54">
        <f t="shared" si="12"/>
        <v>0.64025192444139634</v>
      </c>
      <c r="N32" s="54">
        <f t="shared" si="13"/>
        <v>0.60239865854070707</v>
      </c>
      <c r="O32" s="55">
        <f t="shared" si="14"/>
        <v>0.65004928025641939</v>
      </c>
      <c r="P32" s="5">
        <f t="shared" ref="P32:S32" si="60">SUM(P33:P35)+P41</f>
        <v>-2873.9632900000001</v>
      </c>
      <c r="Q32" s="6">
        <f t="shared" si="60"/>
        <v>-1387.542829999999</v>
      </c>
      <c r="R32" s="6">
        <f t="shared" si="60"/>
        <v>-1579.2925</v>
      </c>
      <c r="S32" s="6">
        <f t="shared" si="60"/>
        <v>-582.75600000000327</v>
      </c>
      <c r="T32" s="54">
        <f t="shared" si="15"/>
        <v>0.51720231262940075</v>
      </c>
      <c r="U32" s="54">
        <f t="shared" si="16"/>
        <v>0.12141491838908947</v>
      </c>
      <c r="V32" s="55">
        <f t="shared" si="17"/>
        <v>0.58000864016572107</v>
      </c>
      <c r="W32" s="5">
        <f t="shared" ref="W32:Z32" si="61">SUM(W33:W35)+W41</f>
        <v>-5183.8756450000001</v>
      </c>
      <c r="X32" s="6">
        <f t="shared" si="61"/>
        <v>-1979.2888299999991</v>
      </c>
      <c r="Y32" s="6">
        <f t="shared" si="61"/>
        <v>-4778.7425869025501</v>
      </c>
      <c r="Z32" s="6">
        <f t="shared" si="61"/>
        <v>-778.31300000000329</v>
      </c>
      <c r="AA32" s="54">
        <f t="shared" si="18"/>
        <v>0.6181835820253363</v>
      </c>
      <c r="AB32" s="54">
        <f t="shared" si="19"/>
        <v>0.58581388429986148</v>
      </c>
      <c r="AC32" s="55">
        <f t="shared" si="20"/>
        <v>0.6067713876806935</v>
      </c>
      <c r="AD32" s="5">
        <f>SUM(AD33:AD41)</f>
        <v>1524.58492</v>
      </c>
      <c r="AE32" s="6">
        <f t="shared" ref="AE32:AF32" si="62">SUM(AE33:AE41)</f>
        <v>575</v>
      </c>
      <c r="AF32" s="7">
        <f t="shared" si="62"/>
        <v>730.649</v>
      </c>
      <c r="AG32" s="129">
        <f>+AG33+AG34+AG35+AG41</f>
        <v>378.65516438356161</v>
      </c>
      <c r="AH32" s="130">
        <f t="shared" ref="AH32:AI32" si="63">+AH33+AH34+AH35+AH41</f>
        <v>424.08299999999997</v>
      </c>
      <c r="AI32" s="131">
        <f t="shared" si="63"/>
        <v>442.303</v>
      </c>
      <c r="AJ32" s="129">
        <f>+AJ33+AJ34+AJ35+AJ41</f>
        <v>206.89282191780822</v>
      </c>
      <c r="AK32" s="130">
        <f t="shared" ref="AK32" si="64">+AK33+AK34+AK35+AK41</f>
        <v>279.69</v>
      </c>
      <c r="AL32" s="131">
        <f t="shared" ref="AL32" si="65">+AL33+AL34+AL35+AL41</f>
        <v>295.24</v>
      </c>
      <c r="AM32" s="129">
        <f>+AM33+AM34+AM35+AM41</f>
        <v>44.079287671232876</v>
      </c>
      <c r="AN32" s="130">
        <f t="shared" ref="AN32" si="66">+AN33+AN34+AN35+AN41</f>
        <v>54.7</v>
      </c>
      <c r="AO32" s="131">
        <f t="shared" ref="AO32" si="67">+AO33+AO34+AO35+AO41</f>
        <v>55</v>
      </c>
    </row>
    <row r="33" spans="1:41" x14ac:dyDescent="0.3">
      <c r="A33" s="8" t="s">
        <v>41</v>
      </c>
      <c r="B33" s="11">
        <v>5391</v>
      </c>
      <c r="C33" s="45">
        <v>6507.7610000000004</v>
      </c>
      <c r="D33" s="19">
        <v>13601</v>
      </c>
      <c r="E33" s="19">
        <v>13855</v>
      </c>
      <c r="F33" s="59">
        <f t="shared" si="9"/>
        <v>0.20715284733815631</v>
      </c>
      <c r="G33" s="59">
        <f t="shared" si="10"/>
        <v>-0.52152334387177413</v>
      </c>
      <c r="H33" s="60">
        <f t="shared" si="11"/>
        <v>1.1289964397893528</v>
      </c>
      <c r="I33" s="11">
        <v>-1978.2249999999999</v>
      </c>
      <c r="J33" s="19">
        <v>-1399.6059999999986</v>
      </c>
      <c r="K33" s="19">
        <v>-1608</v>
      </c>
      <c r="L33" s="19">
        <v>-216.61800000000298</v>
      </c>
      <c r="M33" s="59">
        <f t="shared" si="12"/>
        <v>0.29249402873788433</v>
      </c>
      <c r="N33" s="59">
        <f t="shared" si="13"/>
        <v>0.12959825870646846</v>
      </c>
      <c r="O33" s="60">
        <f t="shared" si="14"/>
        <v>0.84522930024592413</v>
      </c>
      <c r="P33" s="11">
        <v>-1889.2151799999999</v>
      </c>
      <c r="Q33" s="19">
        <v>-1048.1739999999986</v>
      </c>
      <c r="R33" s="19">
        <v>-1608</v>
      </c>
      <c r="S33" s="19">
        <v>-216.61800000000298</v>
      </c>
      <c r="T33" s="59">
        <f t="shared" si="15"/>
        <v>0.44518019381995511</v>
      </c>
      <c r="U33" s="59">
        <f t="shared" si="16"/>
        <v>0.34815049751243865</v>
      </c>
      <c r="V33" s="60">
        <f t="shared" si="17"/>
        <v>0.79333774735873697</v>
      </c>
      <c r="W33" s="11">
        <v>-2243.2249999999999</v>
      </c>
      <c r="X33" s="19">
        <v>-1598.6499999999987</v>
      </c>
      <c r="Y33" s="19">
        <v>-1904</v>
      </c>
      <c r="Z33" s="19">
        <v>-316.61800000000301</v>
      </c>
      <c r="AA33" s="59">
        <f t="shared" si="18"/>
        <v>0.28734299947620112</v>
      </c>
      <c r="AB33" s="59">
        <f t="shared" si="19"/>
        <v>0.16037289915966457</v>
      </c>
      <c r="AC33" s="60">
        <f t="shared" si="20"/>
        <v>0.80194664247959013</v>
      </c>
      <c r="AD33" s="11">
        <v>96.26</v>
      </c>
      <c r="AE33" s="19">
        <v>0</v>
      </c>
      <c r="AF33" s="20">
        <v>50.7</v>
      </c>
      <c r="AG33" s="135">
        <v>13.222958904109589</v>
      </c>
      <c r="AH33" s="136">
        <v>7.54</v>
      </c>
      <c r="AI33" s="137">
        <v>7.26</v>
      </c>
      <c r="AJ33" s="135">
        <v>1.6657534246575341</v>
      </c>
      <c r="AK33" s="136">
        <v>1</v>
      </c>
      <c r="AL33" s="137">
        <v>1</v>
      </c>
      <c r="AM33" s="135">
        <v>1.6657534246575341</v>
      </c>
      <c r="AN33" s="136">
        <v>1</v>
      </c>
      <c r="AO33" s="137">
        <v>1</v>
      </c>
    </row>
    <row r="34" spans="1:41" x14ac:dyDescent="0.3">
      <c r="A34" s="10" t="s">
        <v>42</v>
      </c>
      <c r="B34" s="11">
        <v>3201</v>
      </c>
      <c r="C34" s="45">
        <v>2502.913</v>
      </c>
      <c r="D34" s="19">
        <v>4400</v>
      </c>
      <c r="E34" s="19">
        <v>3138.9859999999999</v>
      </c>
      <c r="F34" s="59">
        <f t="shared" si="9"/>
        <v>-0.21808403623867545</v>
      </c>
      <c r="G34" s="59">
        <f t="shared" si="10"/>
        <v>-0.43115613636363637</v>
      </c>
      <c r="H34" s="60">
        <f t="shared" si="11"/>
        <v>0.25413308413037128</v>
      </c>
      <c r="I34" s="11">
        <v>-3057</v>
      </c>
      <c r="J34" s="19">
        <v>-495.61500000000018</v>
      </c>
      <c r="K34" s="19">
        <v>-3009</v>
      </c>
      <c r="L34" s="19">
        <v>-565.447</v>
      </c>
      <c r="M34" s="59">
        <f t="shared" si="12"/>
        <v>0.83787536800785078</v>
      </c>
      <c r="N34" s="59">
        <f t="shared" si="13"/>
        <v>0.8352891326021934</v>
      </c>
      <c r="O34" s="60">
        <f t="shared" si="14"/>
        <v>-0.14089969028378846</v>
      </c>
      <c r="P34" s="11">
        <v>-1405.2570800000001</v>
      </c>
      <c r="Q34" s="19">
        <v>-519.61800000000017</v>
      </c>
      <c r="R34" s="19">
        <v>-212</v>
      </c>
      <c r="S34" s="19">
        <v>-572.49900000000002</v>
      </c>
      <c r="T34" s="59">
        <f t="shared" si="15"/>
        <v>0.63023278274463479</v>
      </c>
      <c r="U34" s="59">
        <f t="shared" si="16"/>
        <v>-1.4510283018867933</v>
      </c>
      <c r="V34" s="60">
        <f t="shared" si="17"/>
        <v>-0.10176899183631027</v>
      </c>
      <c r="W34" s="11">
        <v>-3033</v>
      </c>
      <c r="X34" s="19">
        <v>-495.28800000000018</v>
      </c>
      <c r="Y34" s="19">
        <v>-3007</v>
      </c>
      <c r="Z34" s="19">
        <v>-597.35599999999999</v>
      </c>
      <c r="AA34" s="59">
        <f t="shared" si="18"/>
        <v>0.83670029673590496</v>
      </c>
      <c r="AB34" s="59">
        <f t="shared" si="19"/>
        <v>0.83528832723644819</v>
      </c>
      <c r="AC34" s="60">
        <f t="shared" si="20"/>
        <v>-0.2060780798242634</v>
      </c>
      <c r="AD34" s="11">
        <v>1153.5999999999999</v>
      </c>
      <c r="AE34" s="19">
        <v>300</v>
      </c>
      <c r="AF34" s="20">
        <v>540</v>
      </c>
      <c r="AG34" s="135">
        <v>52.484712328767117</v>
      </c>
      <c r="AH34" s="136">
        <v>45.24</v>
      </c>
      <c r="AI34" s="137">
        <v>43.24</v>
      </c>
      <c r="AJ34" s="135">
        <v>1.2923835616438359</v>
      </c>
      <c r="AK34" s="136">
        <v>2.2400000000000002</v>
      </c>
      <c r="AL34" s="137">
        <v>2.2400000000000002</v>
      </c>
      <c r="AM34" s="135">
        <v>0</v>
      </c>
      <c r="AN34" s="136">
        <v>0</v>
      </c>
      <c r="AO34" s="137">
        <v>0</v>
      </c>
    </row>
    <row r="35" spans="1:41" x14ac:dyDescent="0.3">
      <c r="A35" s="10" t="s">
        <v>40</v>
      </c>
      <c r="B35" s="11">
        <f t="shared" ref="B35:L35" si="68">SUM(B36:B40)</f>
        <v>1634.05792</v>
      </c>
      <c r="C35" s="45">
        <f t="shared" si="68"/>
        <v>1919</v>
      </c>
      <c r="D35" s="19">
        <f t="shared" si="68"/>
        <v>1830.0000000007999</v>
      </c>
      <c r="E35" s="19">
        <f t="shared" si="68"/>
        <v>2049</v>
      </c>
      <c r="F35" s="59">
        <f t="shared" si="9"/>
        <v>0.17437697679651398</v>
      </c>
      <c r="G35" s="59">
        <f t="shared" si="10"/>
        <v>4.8633879780962452E-2</v>
      </c>
      <c r="H35" s="60">
        <f t="shared" si="11"/>
        <v>6.7743616466909851E-2</v>
      </c>
      <c r="I35" s="11">
        <f t="shared" si="68"/>
        <v>13.907499999999921</v>
      </c>
      <c r="J35" s="19">
        <f t="shared" si="68"/>
        <v>128.24916999999976</v>
      </c>
      <c r="K35" s="19">
        <f t="shared" si="68"/>
        <v>240.70741309745006</v>
      </c>
      <c r="L35" s="19">
        <f t="shared" si="68"/>
        <v>148.36099999999971</v>
      </c>
      <c r="M35" s="59">
        <f t="shared" si="12"/>
        <v>8.2215833183534421</v>
      </c>
      <c r="N35" s="59">
        <f t="shared" si="13"/>
        <v>-0.46719891859716733</v>
      </c>
      <c r="O35" s="60">
        <f t="shared" si="14"/>
        <v>0.15681840280135906</v>
      </c>
      <c r="P35" s="11">
        <f t="shared" ref="P35:S35" si="69">SUM(P36:P40)</f>
        <v>13.907500000000002</v>
      </c>
      <c r="Q35" s="19">
        <f t="shared" si="69"/>
        <v>128.24916999999976</v>
      </c>
      <c r="R35" s="19">
        <f t="shared" si="69"/>
        <v>240.70750000000001</v>
      </c>
      <c r="S35" s="19">
        <f t="shared" si="69"/>
        <v>148.36099999999971</v>
      </c>
      <c r="T35" s="59">
        <f t="shared" si="15"/>
        <v>8.2215833183533871</v>
      </c>
      <c r="U35" s="59">
        <f t="shared" si="16"/>
        <v>-0.46719911095416733</v>
      </c>
      <c r="V35" s="60">
        <f t="shared" si="17"/>
        <v>0.15681840280135906</v>
      </c>
      <c r="W35" s="11">
        <f t="shared" ref="W35:Z35" si="70">SUM(W36:W40)</f>
        <v>17.909354999999923</v>
      </c>
      <c r="X35" s="19">
        <f t="shared" si="70"/>
        <v>114.64916999999977</v>
      </c>
      <c r="Y35" s="19">
        <f t="shared" si="70"/>
        <v>243.25741309745007</v>
      </c>
      <c r="Z35" s="19">
        <f t="shared" si="70"/>
        <v>135.66099999999972</v>
      </c>
      <c r="AA35" s="59">
        <f t="shared" si="18"/>
        <v>5.4016359048106573</v>
      </c>
      <c r="AB35" s="59">
        <f t="shared" si="19"/>
        <v>-0.52869197883778041</v>
      </c>
      <c r="AC35" s="60">
        <f t="shared" si="20"/>
        <v>0.18327066824818705</v>
      </c>
      <c r="AD35" s="105"/>
      <c r="AE35" s="106"/>
      <c r="AF35" s="107"/>
      <c r="AG35" s="138">
        <f>SUM(AG36:AG40)</f>
        <v>133.483</v>
      </c>
      <c r="AH35" s="139">
        <f t="shared" ref="AH35:AI35" si="71">SUM(AH36:AH40)</f>
        <v>129.59300000000002</v>
      </c>
      <c r="AI35" s="140">
        <f t="shared" si="71"/>
        <v>139.803</v>
      </c>
      <c r="AJ35" s="138">
        <f>SUM(AJ36:AJ40)</f>
        <v>105.322</v>
      </c>
      <c r="AK35" s="139">
        <f t="shared" ref="AK35" si="72">SUM(AK36:AK40)</f>
        <v>105.79</v>
      </c>
      <c r="AL35" s="140">
        <f t="shared" ref="AL35" si="73">SUM(AL36:AL40)</f>
        <v>116</v>
      </c>
      <c r="AM35" s="138">
        <f>SUM(AM36:AM40)</f>
        <v>0</v>
      </c>
      <c r="AN35" s="139">
        <f t="shared" ref="AN35" si="74">SUM(AN36:AN40)</f>
        <v>0</v>
      </c>
      <c r="AO35" s="140">
        <f t="shared" ref="AO35" si="75">SUM(AO36:AO40)</f>
        <v>0</v>
      </c>
    </row>
    <row r="36" spans="1:41" x14ac:dyDescent="0.3">
      <c r="A36" s="17" t="s">
        <v>43</v>
      </c>
      <c r="B36" s="14">
        <v>1582.1546599999999</v>
      </c>
      <c r="C36" s="37">
        <v>1769</v>
      </c>
      <c r="D36" s="16">
        <v>1600.0000000007999</v>
      </c>
      <c r="E36" s="16">
        <v>1849</v>
      </c>
      <c r="F36" s="63">
        <f t="shared" si="9"/>
        <v>0.1180954964289016</v>
      </c>
      <c r="G36" s="63">
        <f t="shared" si="10"/>
        <v>0.10562499999944719</v>
      </c>
      <c r="H36" s="64">
        <f t="shared" si="11"/>
        <v>4.5223289994346993E-2</v>
      </c>
      <c r="I36" s="14">
        <v>42.770599999999916</v>
      </c>
      <c r="J36" s="16">
        <v>69.95821999999977</v>
      </c>
      <c r="K36" s="16">
        <v>140.16193143080005</v>
      </c>
      <c r="L36" s="16">
        <v>70.349999999999724</v>
      </c>
      <c r="M36" s="63">
        <f t="shared" si="12"/>
        <v>0.63566141227852557</v>
      </c>
      <c r="N36" s="63">
        <f t="shared" si="13"/>
        <v>-0.50087574218011444</v>
      </c>
      <c r="O36" s="64">
        <f t="shared" si="14"/>
        <v>5.600199662026295E-3</v>
      </c>
      <c r="P36" s="14">
        <v>42.770600000000002</v>
      </c>
      <c r="Q36" s="16">
        <v>69.95821999999977</v>
      </c>
      <c r="R36" s="16">
        <v>140.16200000000001</v>
      </c>
      <c r="S36" s="16">
        <v>70.349999999999724</v>
      </c>
      <c r="T36" s="63">
        <f t="shared" si="15"/>
        <v>0.63566141227852224</v>
      </c>
      <c r="U36" s="63">
        <f t="shared" si="16"/>
        <v>-0.50087598635864383</v>
      </c>
      <c r="V36" s="64">
        <f t="shared" si="17"/>
        <v>5.600199662026295E-3</v>
      </c>
      <c r="W36" s="14">
        <v>48.125099999999918</v>
      </c>
      <c r="X36" s="16">
        <v>57.758219999999767</v>
      </c>
      <c r="Y36" s="16">
        <v>146.16193143080005</v>
      </c>
      <c r="Z36" s="16">
        <v>58.399999999999721</v>
      </c>
      <c r="AA36" s="63">
        <f t="shared" si="18"/>
        <v>0.20016831133857105</v>
      </c>
      <c r="AB36" s="63">
        <f t="shared" si="19"/>
        <v>-0.60483403965316906</v>
      </c>
      <c r="AC36" s="64">
        <f t="shared" si="20"/>
        <v>1.1111492009275192E-2</v>
      </c>
      <c r="AD36" s="91"/>
      <c r="AE36" s="93"/>
      <c r="AF36" s="96"/>
      <c r="AG36" s="127">
        <v>131.483</v>
      </c>
      <c r="AH36" s="128">
        <v>127.593</v>
      </c>
      <c r="AI36" s="141">
        <v>136.803</v>
      </c>
      <c r="AJ36" s="127">
        <v>104.322</v>
      </c>
      <c r="AK36" s="128">
        <v>104.79</v>
      </c>
      <c r="AL36" s="141">
        <v>114</v>
      </c>
      <c r="AM36" s="127">
        <v>0</v>
      </c>
      <c r="AN36" s="128">
        <v>0</v>
      </c>
      <c r="AO36" s="141">
        <v>0</v>
      </c>
    </row>
    <row r="37" spans="1:41" x14ac:dyDescent="0.3">
      <c r="A37" s="17" t="s">
        <v>44</v>
      </c>
      <c r="B37" s="14">
        <v>51.903260000000003</v>
      </c>
      <c r="C37" s="37">
        <v>150</v>
      </c>
      <c r="D37" s="16">
        <v>230</v>
      </c>
      <c r="E37" s="16">
        <v>200</v>
      </c>
      <c r="F37" s="63">
        <f t="shared" si="9"/>
        <v>1.8899918810494754</v>
      </c>
      <c r="G37" s="63">
        <f t="shared" si="10"/>
        <v>-0.34782608695652173</v>
      </c>
      <c r="H37" s="64">
        <f t="shared" si="11"/>
        <v>0.33333333333333326</v>
      </c>
      <c r="I37" s="14">
        <v>-28.863099999999996</v>
      </c>
      <c r="J37" s="16">
        <v>58.290949999999995</v>
      </c>
      <c r="K37" s="16">
        <v>100.54548166665001</v>
      </c>
      <c r="L37" s="16">
        <v>78.010999999999996</v>
      </c>
      <c r="M37" s="63">
        <f t="shared" si="12"/>
        <v>3.0195665053303355</v>
      </c>
      <c r="N37" s="63">
        <f t="shared" si="13"/>
        <v>-0.42025291406670384</v>
      </c>
      <c r="O37" s="64">
        <f t="shared" si="14"/>
        <v>0.33830380187662068</v>
      </c>
      <c r="P37" s="14">
        <v>-28.863099999999999</v>
      </c>
      <c r="Q37" s="16">
        <v>58.290949999999995</v>
      </c>
      <c r="R37" s="16">
        <v>100.5455</v>
      </c>
      <c r="S37" s="16">
        <v>78.010999999999996</v>
      </c>
      <c r="T37" s="63">
        <f t="shared" si="15"/>
        <v>3.0195665053303351</v>
      </c>
      <c r="U37" s="63">
        <f t="shared" si="16"/>
        <v>-0.42025301977711593</v>
      </c>
      <c r="V37" s="64">
        <f t="shared" si="17"/>
        <v>0.33830380187662068</v>
      </c>
      <c r="W37" s="14">
        <v>-30.215744999999995</v>
      </c>
      <c r="X37" s="16">
        <v>56.890949999999997</v>
      </c>
      <c r="Y37" s="16">
        <v>97.095481666650002</v>
      </c>
      <c r="Z37" s="16">
        <v>77.260999999999996</v>
      </c>
      <c r="AA37" s="63">
        <f t="shared" si="18"/>
        <v>2.8828246664115018</v>
      </c>
      <c r="AB37" s="63">
        <f t="shared" si="19"/>
        <v>-0.41407211722457848</v>
      </c>
      <c r="AC37" s="64">
        <f t="shared" si="20"/>
        <v>0.35805431268066368</v>
      </c>
      <c r="AD37" s="14">
        <v>0.71792</v>
      </c>
      <c r="AE37" s="16">
        <v>0</v>
      </c>
      <c r="AF37" s="22">
        <v>0.3</v>
      </c>
      <c r="AG37" s="127">
        <v>2</v>
      </c>
      <c r="AH37" s="128">
        <v>2</v>
      </c>
      <c r="AI37" s="141">
        <v>3</v>
      </c>
      <c r="AJ37" s="127">
        <v>1</v>
      </c>
      <c r="AK37" s="128">
        <v>1</v>
      </c>
      <c r="AL37" s="141">
        <v>2</v>
      </c>
      <c r="AM37" s="127">
        <v>0</v>
      </c>
      <c r="AN37" s="128">
        <v>0</v>
      </c>
      <c r="AO37" s="141">
        <v>0</v>
      </c>
    </row>
    <row r="38" spans="1:41" x14ac:dyDescent="0.3">
      <c r="A38" s="17" t="s">
        <v>45</v>
      </c>
      <c r="B38" s="91"/>
      <c r="C38" s="92"/>
      <c r="D38" s="93"/>
      <c r="E38" s="93"/>
      <c r="F38" s="94" t="str">
        <f t="shared" si="9"/>
        <v>N/A</v>
      </c>
      <c r="G38" s="94" t="str">
        <f t="shared" si="10"/>
        <v>N/A</v>
      </c>
      <c r="H38" s="95" t="str">
        <f t="shared" si="11"/>
        <v>N/A</v>
      </c>
      <c r="I38" s="91"/>
      <c r="J38" s="93"/>
      <c r="K38" s="93"/>
      <c r="L38" s="93"/>
      <c r="M38" s="94" t="str">
        <f t="shared" si="12"/>
        <v>N/A</v>
      </c>
      <c r="N38" s="94" t="str">
        <f t="shared" si="13"/>
        <v>N/A</v>
      </c>
      <c r="O38" s="95" t="str">
        <f t="shared" si="14"/>
        <v>N/A</v>
      </c>
      <c r="P38" s="91">
        <v>0</v>
      </c>
      <c r="Q38" s="93">
        <v>0</v>
      </c>
      <c r="R38" s="93">
        <v>0</v>
      </c>
      <c r="S38" s="93">
        <v>0</v>
      </c>
      <c r="T38" s="94" t="str">
        <f t="shared" si="15"/>
        <v>N/A</v>
      </c>
      <c r="U38" s="94" t="str">
        <f t="shared" si="16"/>
        <v>N/A</v>
      </c>
      <c r="V38" s="95" t="str">
        <f t="shared" si="17"/>
        <v>N/A</v>
      </c>
      <c r="W38" s="91"/>
      <c r="X38" s="93"/>
      <c r="Y38" s="93"/>
      <c r="Z38" s="93"/>
      <c r="AA38" s="94" t="str">
        <f t="shared" si="18"/>
        <v>N/A</v>
      </c>
      <c r="AB38" s="94" t="str">
        <f t="shared" si="19"/>
        <v>N/A</v>
      </c>
      <c r="AC38" s="95" t="str">
        <f t="shared" si="20"/>
        <v>N/A</v>
      </c>
      <c r="AD38" s="91"/>
      <c r="AE38" s="93"/>
      <c r="AF38" s="96"/>
      <c r="AG38" s="142">
        <v>0</v>
      </c>
      <c r="AH38" s="143">
        <v>0</v>
      </c>
      <c r="AI38" s="144">
        <v>0</v>
      </c>
      <c r="AJ38" s="142"/>
      <c r="AK38" s="143"/>
      <c r="AL38" s="144"/>
      <c r="AM38" s="142"/>
      <c r="AN38" s="143"/>
      <c r="AO38" s="144"/>
    </row>
    <row r="39" spans="1:41" x14ac:dyDescent="0.3">
      <c r="A39" s="17" t="s">
        <v>46</v>
      </c>
      <c r="B39" s="91"/>
      <c r="C39" s="93"/>
      <c r="D39" s="93"/>
      <c r="E39" s="93"/>
      <c r="F39" s="94" t="str">
        <f t="shared" si="9"/>
        <v>N/A</v>
      </c>
      <c r="G39" s="94" t="str">
        <f t="shared" si="10"/>
        <v>N/A</v>
      </c>
      <c r="H39" s="95" t="str">
        <f t="shared" si="11"/>
        <v>N/A</v>
      </c>
      <c r="I39" s="91"/>
      <c r="J39" s="93"/>
      <c r="K39" s="93"/>
      <c r="L39" s="93"/>
      <c r="M39" s="94" t="str">
        <f t="shared" si="12"/>
        <v>N/A</v>
      </c>
      <c r="N39" s="94" t="str">
        <f t="shared" si="13"/>
        <v>N/A</v>
      </c>
      <c r="O39" s="95" t="str">
        <f t="shared" si="14"/>
        <v>N/A</v>
      </c>
      <c r="P39" s="91">
        <v>0</v>
      </c>
      <c r="Q39" s="93">
        <v>0</v>
      </c>
      <c r="R39" s="93">
        <v>0</v>
      </c>
      <c r="S39" s="93">
        <v>0</v>
      </c>
      <c r="T39" s="94" t="str">
        <f t="shared" si="15"/>
        <v>N/A</v>
      </c>
      <c r="U39" s="94" t="str">
        <f t="shared" si="16"/>
        <v>N/A</v>
      </c>
      <c r="V39" s="95" t="str">
        <f t="shared" si="17"/>
        <v>N/A</v>
      </c>
      <c r="W39" s="91"/>
      <c r="X39" s="93"/>
      <c r="Y39" s="93"/>
      <c r="Z39" s="93"/>
      <c r="AA39" s="94" t="str">
        <f t="shared" si="18"/>
        <v>N/A</v>
      </c>
      <c r="AB39" s="94" t="str">
        <f t="shared" si="19"/>
        <v>N/A</v>
      </c>
      <c r="AC39" s="95" t="str">
        <f t="shared" si="20"/>
        <v>N/A</v>
      </c>
      <c r="AD39" s="91"/>
      <c r="AE39" s="93"/>
      <c r="AF39" s="96"/>
      <c r="AG39" s="142">
        <v>0</v>
      </c>
      <c r="AH39" s="143">
        <v>0</v>
      </c>
      <c r="AI39" s="144">
        <v>0</v>
      </c>
      <c r="AJ39" s="142"/>
      <c r="AK39" s="143"/>
      <c r="AL39" s="144"/>
      <c r="AM39" s="142"/>
      <c r="AN39" s="143"/>
      <c r="AO39" s="144"/>
    </row>
    <row r="40" spans="1:41" x14ac:dyDescent="0.3">
      <c r="A40" s="17" t="s">
        <v>47</v>
      </c>
      <c r="B40" s="91"/>
      <c r="C40" s="93"/>
      <c r="D40" s="93"/>
      <c r="E40" s="93"/>
      <c r="F40" s="94" t="str">
        <f t="shared" si="9"/>
        <v>N/A</v>
      </c>
      <c r="G40" s="94" t="str">
        <f t="shared" si="10"/>
        <v>N/A</v>
      </c>
      <c r="H40" s="95" t="str">
        <f t="shared" si="11"/>
        <v>N/A</v>
      </c>
      <c r="I40" s="91"/>
      <c r="J40" s="93"/>
      <c r="K40" s="93"/>
      <c r="L40" s="93"/>
      <c r="M40" s="94" t="str">
        <f t="shared" si="12"/>
        <v>N/A</v>
      </c>
      <c r="N40" s="94" t="str">
        <f t="shared" si="13"/>
        <v>N/A</v>
      </c>
      <c r="O40" s="95" t="str">
        <f t="shared" si="14"/>
        <v>N/A</v>
      </c>
      <c r="P40" s="91">
        <v>0</v>
      </c>
      <c r="Q40" s="93">
        <v>0</v>
      </c>
      <c r="R40" s="93">
        <v>0</v>
      </c>
      <c r="S40" s="93">
        <v>0</v>
      </c>
      <c r="T40" s="94" t="str">
        <f t="shared" si="15"/>
        <v>N/A</v>
      </c>
      <c r="U40" s="94" t="str">
        <f t="shared" si="16"/>
        <v>N/A</v>
      </c>
      <c r="V40" s="95" t="str">
        <f t="shared" si="17"/>
        <v>N/A</v>
      </c>
      <c r="W40" s="91"/>
      <c r="X40" s="93"/>
      <c r="Y40" s="93"/>
      <c r="Z40" s="93"/>
      <c r="AA40" s="94" t="str">
        <f t="shared" si="18"/>
        <v>N/A</v>
      </c>
      <c r="AB40" s="94" t="str">
        <f t="shared" si="19"/>
        <v>N/A</v>
      </c>
      <c r="AC40" s="95" t="str">
        <f t="shared" si="20"/>
        <v>N/A</v>
      </c>
      <c r="AD40" s="91"/>
      <c r="AE40" s="93"/>
      <c r="AF40" s="96"/>
      <c r="AG40" s="142">
        <v>0</v>
      </c>
      <c r="AH40" s="143">
        <v>0</v>
      </c>
      <c r="AI40" s="144">
        <v>0</v>
      </c>
      <c r="AJ40" s="142"/>
      <c r="AK40" s="143"/>
      <c r="AL40" s="144"/>
      <c r="AM40" s="142"/>
      <c r="AN40" s="143"/>
      <c r="AO40" s="144"/>
    </row>
    <row r="41" spans="1:41" ht="15" thickBot="1" x14ac:dyDescent="0.35">
      <c r="A41" s="18" t="s">
        <v>48</v>
      </c>
      <c r="B41" s="12">
        <v>7430</v>
      </c>
      <c r="C41" s="38">
        <v>8546</v>
      </c>
      <c r="D41" s="29">
        <v>7873</v>
      </c>
      <c r="E41" s="29">
        <v>8996</v>
      </c>
      <c r="F41" s="61">
        <f t="shared" si="9"/>
        <v>0.15020188425302816</v>
      </c>
      <c r="G41" s="61">
        <f t="shared" si="10"/>
        <v>8.5482027181506437E-2</v>
      </c>
      <c r="H41" s="62">
        <f t="shared" si="11"/>
        <v>5.2656213433185162E-2</v>
      </c>
      <c r="I41" s="12">
        <v>162.44000000000051</v>
      </c>
      <c r="J41" s="29">
        <v>19</v>
      </c>
      <c r="K41" s="29">
        <v>-20</v>
      </c>
      <c r="L41" s="29">
        <v>22</v>
      </c>
      <c r="M41" s="61">
        <f t="shared" si="12"/>
        <v>-0.88303373553312026</v>
      </c>
      <c r="N41" s="61">
        <f t="shared" si="13"/>
        <v>1.95</v>
      </c>
      <c r="O41" s="62">
        <f t="shared" si="14"/>
        <v>0.15789473684210531</v>
      </c>
      <c r="P41" s="12">
        <v>406.60147000000001</v>
      </c>
      <c r="Q41" s="29">
        <v>52</v>
      </c>
      <c r="R41" s="29">
        <v>0</v>
      </c>
      <c r="S41" s="29">
        <v>58</v>
      </c>
      <c r="T41" s="61">
        <f t="shared" si="15"/>
        <v>-0.87211064436141861</v>
      </c>
      <c r="U41" s="61" t="str">
        <f t="shared" si="16"/>
        <v>N/A</v>
      </c>
      <c r="V41" s="62">
        <f t="shared" si="17"/>
        <v>0.11538461538461542</v>
      </c>
      <c r="W41" s="12">
        <v>74.440000000000509</v>
      </c>
      <c r="X41" s="29">
        <v>0</v>
      </c>
      <c r="Y41" s="29">
        <v>-111</v>
      </c>
      <c r="Z41" s="29">
        <v>0</v>
      </c>
      <c r="AA41" s="61" t="str">
        <f t="shared" si="18"/>
        <v>N/A</v>
      </c>
      <c r="AB41" s="61" t="str">
        <f t="shared" si="19"/>
        <v>N/A</v>
      </c>
      <c r="AC41" s="62" t="str">
        <f t="shared" si="20"/>
        <v>N/A</v>
      </c>
      <c r="AD41" s="12">
        <v>274.00700000000001</v>
      </c>
      <c r="AE41" s="29">
        <v>275</v>
      </c>
      <c r="AF41" s="30">
        <v>139.649</v>
      </c>
      <c r="AG41" s="145">
        <v>179.46449315068492</v>
      </c>
      <c r="AH41" s="146">
        <v>241.70999999999998</v>
      </c>
      <c r="AI41" s="147">
        <v>252</v>
      </c>
      <c r="AJ41" s="145">
        <v>98.612684931506848</v>
      </c>
      <c r="AK41" s="146">
        <v>170.66</v>
      </c>
      <c r="AL41" s="147">
        <v>176</v>
      </c>
      <c r="AM41" s="145">
        <v>42.413534246575345</v>
      </c>
      <c r="AN41" s="146">
        <v>53.7</v>
      </c>
      <c r="AO41" s="147">
        <v>54</v>
      </c>
    </row>
    <row r="42" spans="1:41" ht="16.2" thickBot="1" x14ac:dyDescent="0.35">
      <c r="A42" s="4" t="s">
        <v>49</v>
      </c>
      <c r="B42" s="5">
        <f t="shared" ref="B42:L42" si="76">+B32+B28+B23+B19+B11+B3</f>
        <v>758984.8671850001</v>
      </c>
      <c r="C42" s="6">
        <f t="shared" si="76"/>
        <v>757630.21792110393</v>
      </c>
      <c r="D42" s="6">
        <f t="shared" si="76"/>
        <v>783846.34336820035</v>
      </c>
      <c r="E42" s="6">
        <f t="shared" si="76"/>
        <v>778638.00396055949</v>
      </c>
      <c r="F42" s="54">
        <f t="shared" si="9"/>
        <v>-1.7848172242490579E-3</v>
      </c>
      <c r="G42" s="54">
        <f t="shared" si="10"/>
        <v>-3.3445490521069821E-2</v>
      </c>
      <c r="H42" s="55">
        <f t="shared" si="11"/>
        <v>2.7728284250725599E-2</v>
      </c>
      <c r="I42" s="5">
        <f t="shared" si="76"/>
        <v>-1315.3893899999789</v>
      </c>
      <c r="J42" s="6">
        <f t="shared" si="76"/>
        <v>8703.4563364312598</v>
      </c>
      <c r="K42" s="6">
        <f t="shared" si="76"/>
        <v>1277.8785200893626</v>
      </c>
      <c r="L42" s="6">
        <f t="shared" si="76"/>
        <v>14127.900479736263</v>
      </c>
      <c r="M42" s="54">
        <f t="shared" si="12"/>
        <v>7.6166386946692644</v>
      </c>
      <c r="N42" s="54">
        <f t="shared" si="13"/>
        <v>5.8108636303101981</v>
      </c>
      <c r="O42" s="55">
        <f t="shared" si="14"/>
        <v>0.62325172134191775</v>
      </c>
      <c r="P42" s="5">
        <f t="shared" ref="P42:S42" si="77">+P32+P28+P23+P19+P11+P3</f>
        <v>2444.0770029411756</v>
      </c>
      <c r="Q42" s="6">
        <f t="shared" si="77"/>
        <v>11753.634435002688</v>
      </c>
      <c r="R42" s="6">
        <f t="shared" si="77"/>
        <v>8256.0261062372865</v>
      </c>
      <c r="S42" s="6">
        <f t="shared" si="77"/>
        <v>16437.550159736264</v>
      </c>
      <c r="T42" s="54">
        <f t="shared" si="15"/>
        <v>3.8090278746776365</v>
      </c>
      <c r="U42" s="54">
        <f t="shared" si="16"/>
        <v>0.42364308006766338</v>
      </c>
      <c r="V42" s="55">
        <f t="shared" si="17"/>
        <v>0.39850786160106599</v>
      </c>
      <c r="W42" s="5">
        <f t="shared" ref="W42:Z42" si="78">+W32+W28+W23+W19+W11+W3</f>
        <v>-7278.89537499998</v>
      </c>
      <c r="X42" s="6">
        <f t="shared" si="78"/>
        <v>3617.4154645543476</v>
      </c>
      <c r="Y42" s="6">
        <f t="shared" si="78"/>
        <v>-6273.0585745379367</v>
      </c>
      <c r="Z42" s="6">
        <f t="shared" si="78"/>
        <v>8945.5350335210715</v>
      </c>
      <c r="AA42" s="54">
        <f t="shared" si="18"/>
        <v>1.4969731364704988</v>
      </c>
      <c r="AB42" s="54">
        <f t="shared" si="19"/>
        <v>1.5766589649325571</v>
      </c>
      <c r="AC42" s="55">
        <f t="shared" si="20"/>
        <v>1.4729078318968067</v>
      </c>
      <c r="AD42" s="5">
        <f t="shared" ref="AD42:AF42" si="79">+AD32+AD28+AD23+AD19+AD11+AD3</f>
        <v>28886.598635000002</v>
      </c>
      <c r="AE42" s="6">
        <f t="shared" si="79"/>
        <v>23441.875</v>
      </c>
      <c r="AF42" s="7">
        <f t="shared" si="79"/>
        <v>28292.847941550001</v>
      </c>
      <c r="AG42" s="129">
        <f t="shared" ref="AG42:AI42" si="80">+AG32+AG28+AG23+AG19+AG11+AG3</f>
        <v>23044.107545205476</v>
      </c>
      <c r="AH42" s="130">
        <f t="shared" ref="AH42" si="81">+AH32+AH28+AH23+AH19+AH11+AH3</f>
        <v>24144.316196011558</v>
      </c>
      <c r="AI42" s="131">
        <f t="shared" si="80"/>
        <v>24357.020633147855</v>
      </c>
      <c r="AJ42" s="129">
        <f t="shared" ref="AJ42:AL42" si="82">+AJ32+AJ28+AJ23+AJ19+AJ11+AJ3</f>
        <v>8372.5068616438348</v>
      </c>
      <c r="AK42" s="130">
        <f t="shared" si="82"/>
        <v>9271.4640845298527</v>
      </c>
      <c r="AL42" s="131">
        <f t="shared" si="82"/>
        <v>9873.7112500000003</v>
      </c>
      <c r="AM42" s="129">
        <f t="shared" ref="AM42:AO42" si="83">+AM32+AM28+AM23+AM19+AM11+AM3</f>
        <v>307.8976726027397</v>
      </c>
      <c r="AN42" s="130">
        <f t="shared" si="83"/>
        <v>315.59166666666664</v>
      </c>
      <c r="AO42" s="131">
        <f t="shared" si="83"/>
        <v>333.64</v>
      </c>
    </row>
    <row r="43" spans="1:41" x14ac:dyDescent="0.3">
      <c r="A43" s="8" t="s">
        <v>50</v>
      </c>
      <c r="B43" s="9">
        <v>5830.020770000001</v>
      </c>
      <c r="C43" s="27">
        <v>4622.9701250000007</v>
      </c>
      <c r="D43" s="27">
        <v>7147.7782399999987</v>
      </c>
      <c r="E43" s="27">
        <v>3819.3780000000002</v>
      </c>
      <c r="F43" s="57">
        <f t="shared" si="9"/>
        <v>-0.20704053941132017</v>
      </c>
      <c r="G43" s="57">
        <f t="shared" si="10"/>
        <v>-0.35322977717338899</v>
      </c>
      <c r="H43" s="58">
        <f t="shared" si="11"/>
        <v>-0.17382593944407121</v>
      </c>
      <c r="I43" s="9">
        <v>-5054.8851800000011</v>
      </c>
      <c r="J43" s="27">
        <v>-4926.5876296809529</v>
      </c>
      <c r="K43" s="27">
        <v>-2923.4496593692002</v>
      </c>
      <c r="L43" s="27">
        <v>-4991.2571875933345</v>
      </c>
      <c r="M43" s="57">
        <f t="shared" si="12"/>
        <v>2.5380902978106468E-2</v>
      </c>
      <c r="N43" s="57">
        <f t="shared" si="13"/>
        <v>-0.68519666958930103</v>
      </c>
      <c r="O43" s="58">
        <f t="shared" si="14"/>
        <v>-1.312664318051926E-2</v>
      </c>
      <c r="P43" s="9">
        <v>-4598.7290899999998</v>
      </c>
      <c r="Q43" s="44">
        <v>-4832.9098896809528</v>
      </c>
      <c r="R43" s="44">
        <v>-2788.6125385700029</v>
      </c>
      <c r="S43" s="44">
        <v>-4915.4684475933345</v>
      </c>
      <c r="T43" s="57">
        <f t="shared" si="15"/>
        <v>-5.0922938728915845E-2</v>
      </c>
      <c r="U43" s="57">
        <f t="shared" si="16"/>
        <v>-0.73308762792813909</v>
      </c>
      <c r="V43" s="58">
        <f t="shared" si="17"/>
        <v>-1.7082577535463273E-2</v>
      </c>
      <c r="W43" s="9">
        <v>-5745.7685899999997</v>
      </c>
      <c r="X43" s="27">
        <v>-5540.85606637207</v>
      </c>
      <c r="Y43" s="27">
        <v>-3962.5125293691999</v>
      </c>
      <c r="Z43" s="27">
        <v>-6337.3174365046498</v>
      </c>
      <c r="AA43" s="57">
        <f t="shared" si="18"/>
        <v>3.5663205090535999E-2</v>
      </c>
      <c r="AB43" s="57">
        <f t="shared" si="19"/>
        <v>-0.39831887604255223</v>
      </c>
      <c r="AC43" s="58">
        <f t="shared" si="20"/>
        <v>-0.14374337838630602</v>
      </c>
      <c r="AD43" s="9">
        <v>33091.410230000001</v>
      </c>
      <c r="AE43" s="27">
        <f>487+2953.218</f>
        <v>3440.2179999999998</v>
      </c>
      <c r="AF43" s="28">
        <v>2812.4311299999999</v>
      </c>
      <c r="AG43" s="132">
        <v>101.9216</v>
      </c>
      <c r="AH43" s="133">
        <v>109.21000000000001</v>
      </c>
      <c r="AI43" s="134">
        <v>106.22999999999999</v>
      </c>
      <c r="AJ43" s="132">
        <v>74.003299999999996</v>
      </c>
      <c r="AK43" s="133">
        <v>74.88</v>
      </c>
      <c r="AL43" s="134">
        <v>72</v>
      </c>
      <c r="AM43" s="132">
        <v>19.552</v>
      </c>
      <c r="AN43" s="133">
        <v>26.38</v>
      </c>
      <c r="AO43" s="134">
        <v>24</v>
      </c>
    </row>
    <row r="44" spans="1:41" x14ac:dyDescent="0.3">
      <c r="A44" s="10" t="s">
        <v>55</v>
      </c>
      <c r="B44" s="11">
        <v>-8929.4069549999549</v>
      </c>
      <c r="C44" s="19">
        <v>-6970.9495125805379</v>
      </c>
      <c r="D44" s="19">
        <v>-11099.8243708683</v>
      </c>
      <c r="E44" s="19">
        <v>-6502.2181406796108</v>
      </c>
      <c r="F44" s="59">
        <f t="shared" si="9"/>
        <v>-0.21932670918563002</v>
      </c>
      <c r="G44" s="59">
        <f t="shared" si="10"/>
        <v>-0.37197659353278356</v>
      </c>
      <c r="H44" s="60">
        <f t="shared" si="11"/>
        <v>-6.724067805325562E-2</v>
      </c>
      <c r="I44" s="52">
        <v>193.68056999998055</v>
      </c>
      <c r="J44" s="45">
        <f>-73.2+122.9+304.3-51-367+160.3</f>
        <v>96.300000000000011</v>
      </c>
      <c r="K44" s="45">
        <v>-446.22</v>
      </c>
      <c r="L44" s="45">
        <f>-73.2+127.2+421.3-334.5</f>
        <v>140.80000000000001</v>
      </c>
      <c r="M44" s="65">
        <f t="shared" si="12"/>
        <v>-0.50278956737885649</v>
      </c>
      <c r="N44" s="59">
        <f t="shared" si="13"/>
        <v>1.2158128277531262</v>
      </c>
      <c r="O44" s="60">
        <f t="shared" si="14"/>
        <v>0.46209761163032192</v>
      </c>
      <c r="P44" s="52">
        <v>193.68096</v>
      </c>
      <c r="Q44" s="45">
        <v>96.3</v>
      </c>
      <c r="R44" s="45">
        <v>-1146.22</v>
      </c>
      <c r="S44" s="45">
        <v>140.80000000000001</v>
      </c>
      <c r="T44" s="65">
        <f t="shared" si="15"/>
        <v>-0.50279056857215076</v>
      </c>
      <c r="U44" s="59">
        <f t="shared" si="16"/>
        <v>1.0840152850238174</v>
      </c>
      <c r="V44" s="60">
        <f t="shared" si="17"/>
        <v>0.46209761163032215</v>
      </c>
      <c r="W44" s="52">
        <f>-723.41803500002-316.187</f>
        <v>-1039.6050350000201</v>
      </c>
      <c r="X44" s="45">
        <f>-73.2+122.9+304.3-51-367+160.3-385.204+58.016</f>
        <v>-230.88800000000001</v>
      </c>
      <c r="Y44" s="45">
        <v>-446.22</v>
      </c>
      <c r="Z44" s="45">
        <f>-73.2+127.2+421.3-334.5-182.702+63.161</f>
        <v>21.259000000000015</v>
      </c>
      <c r="AA44" s="65">
        <f t="shared" si="18"/>
        <v>0.77790796290247333</v>
      </c>
      <c r="AB44" s="59">
        <f t="shared" si="19"/>
        <v>0.4825691363004796</v>
      </c>
      <c r="AC44" s="60">
        <f t="shared" si="20"/>
        <v>1.0920749454280865</v>
      </c>
      <c r="AD44" s="97"/>
      <c r="AE44" s="100">
        <v>-1368.1659999999999</v>
      </c>
      <c r="AF44" s="98"/>
      <c r="AG44" s="155"/>
      <c r="AH44" s="156"/>
      <c r="AI44" s="157"/>
      <c r="AJ44" s="155"/>
      <c r="AK44" s="156"/>
      <c r="AL44" s="157"/>
      <c r="AM44" s="155"/>
      <c r="AN44" s="156"/>
      <c r="AO44" s="157"/>
    </row>
    <row r="45" spans="1:41" x14ac:dyDescent="0.3">
      <c r="A45" s="10" t="s">
        <v>57</v>
      </c>
      <c r="B45" s="52">
        <v>2079</v>
      </c>
      <c r="C45" s="45">
        <v>3106.4944249999994</v>
      </c>
      <c r="D45" s="45">
        <v>2028</v>
      </c>
      <c r="E45" s="45">
        <v>3819.3780000000002</v>
      </c>
      <c r="F45" s="65">
        <f t="shared" si="9"/>
        <v>0.49422531265031244</v>
      </c>
      <c r="G45" s="65">
        <f t="shared" si="10"/>
        <v>0.53180198471400364</v>
      </c>
      <c r="H45" s="66">
        <f t="shared" si="11"/>
        <v>0.22948168497035071</v>
      </c>
      <c r="I45" s="52">
        <v>-4694</v>
      </c>
      <c r="J45" s="45">
        <v>-2621.1218996809566</v>
      </c>
      <c r="K45" s="45">
        <v>-2692.6650058999999</v>
      </c>
      <c r="L45" s="45">
        <v>-3959.3241175933344</v>
      </c>
      <c r="M45" s="65">
        <f t="shared" si="12"/>
        <v>0.44160164045995809</v>
      </c>
      <c r="N45" s="59">
        <f t="shared" si="13"/>
        <v>2.6569627511139449E-2</v>
      </c>
      <c r="O45" s="60">
        <f t="shared" si="14"/>
        <v>-0.51054558663420568</v>
      </c>
      <c r="P45" s="52">
        <v>-2054.2802899999992</v>
      </c>
      <c r="Q45" s="45">
        <v>-2187.8843596809565</v>
      </c>
      <c r="R45" s="45">
        <v>-2192.6650058999999</v>
      </c>
      <c r="S45" s="45">
        <v>-3459.3241175933344</v>
      </c>
      <c r="T45" s="65">
        <f t="shared" si="15"/>
        <v>-6.5036923311452055E-2</v>
      </c>
      <c r="U45" s="59">
        <f t="shared" si="16"/>
        <v>2.1802902888401476E-3</v>
      </c>
      <c r="V45" s="60">
        <f t="shared" si="17"/>
        <v>-0.58112749528397512</v>
      </c>
      <c r="W45" s="52">
        <v>-10095</v>
      </c>
      <c r="X45" s="45">
        <v>-2044.5886505454973</v>
      </c>
      <c r="Y45" s="45">
        <v>-4626.0544639782165</v>
      </c>
      <c r="Z45" s="45">
        <v>-5555.4113264399884</v>
      </c>
      <c r="AA45" s="65">
        <f t="shared" si="18"/>
        <v>0.79746521539915827</v>
      </c>
      <c r="AB45" s="59">
        <f t="shared" si="19"/>
        <v>0.55802754453797865</v>
      </c>
      <c r="AC45" s="60">
        <f t="shared" si="20"/>
        <v>-1.7171291031855245</v>
      </c>
      <c r="AD45" s="99"/>
      <c r="AE45" s="100"/>
      <c r="AF45" s="101"/>
      <c r="AG45" s="148">
        <v>28.816027397260275</v>
      </c>
      <c r="AH45" s="156"/>
      <c r="AI45" s="154"/>
      <c r="AJ45" s="148">
        <v>10.13435616438356</v>
      </c>
      <c r="AK45" s="156"/>
      <c r="AL45" s="154"/>
      <c r="AM45" s="148">
        <v>8.1300000000000008</v>
      </c>
      <c r="AN45" s="156"/>
      <c r="AO45" s="154"/>
    </row>
    <row r="46" spans="1:41" ht="15" thickBot="1" x14ac:dyDescent="0.35">
      <c r="A46" s="10" t="s">
        <v>56</v>
      </c>
      <c r="B46" s="12">
        <v>-11402</v>
      </c>
      <c r="C46" s="38">
        <v>-9476.1314999999995</v>
      </c>
      <c r="D46" s="38">
        <v>-11637</v>
      </c>
      <c r="E46" s="38">
        <v>-9274.0550000000003</v>
      </c>
      <c r="F46" s="67">
        <f t="shared" si="9"/>
        <v>-0.16890620066654982</v>
      </c>
      <c r="G46" s="67">
        <f t="shared" si="10"/>
        <v>-0.18568948182521272</v>
      </c>
      <c r="H46" s="68">
        <f t="shared" si="11"/>
        <v>-2.1324788496233871E-2</v>
      </c>
      <c r="I46" s="12">
        <v>9796.0709999999999</v>
      </c>
      <c r="J46" s="38">
        <f>2300-7-88</f>
        <v>2205</v>
      </c>
      <c r="K46" s="38">
        <v>-7</v>
      </c>
      <c r="L46" s="38">
        <f>-7-88</f>
        <v>-95</v>
      </c>
      <c r="M46" s="61">
        <f t="shared" si="12"/>
        <v>-0.77490975718734578</v>
      </c>
      <c r="N46" s="61">
        <f t="shared" si="13"/>
        <v>316</v>
      </c>
      <c r="O46" s="62">
        <f t="shared" si="14"/>
        <v>-1.0430839002267573</v>
      </c>
      <c r="P46" s="12">
        <v>-95.086269999999786</v>
      </c>
      <c r="Q46" s="38">
        <v>-95.514439999999951</v>
      </c>
      <c r="R46" s="38">
        <v>-7</v>
      </c>
      <c r="S46" s="38">
        <v>-95</v>
      </c>
      <c r="T46" s="61">
        <f t="shared" si="15"/>
        <v>-4.5029634667568263E-3</v>
      </c>
      <c r="U46" s="61">
        <f t="shared" si="16"/>
        <v>-12.644919999999994</v>
      </c>
      <c r="V46" s="62">
        <f t="shared" si="17"/>
        <v>5.3859918981878918E-3</v>
      </c>
      <c r="W46" s="12">
        <f>11725.563+208.264</f>
        <v>11933.826999999999</v>
      </c>
      <c r="X46" s="38">
        <f>-145+500</f>
        <v>355</v>
      </c>
      <c r="Y46" s="38">
        <f>-7+300</f>
        <v>293</v>
      </c>
      <c r="Z46" s="38">
        <f>-145+500</f>
        <v>355</v>
      </c>
      <c r="AA46" s="61">
        <f t="shared" si="18"/>
        <v>-0.97025262725863215</v>
      </c>
      <c r="AB46" s="61">
        <f t="shared" si="19"/>
        <v>0.21160409556313997</v>
      </c>
      <c r="AC46" s="62">
        <f t="shared" si="20"/>
        <v>0</v>
      </c>
      <c r="AD46" s="102"/>
      <c r="AE46" s="103"/>
      <c r="AF46" s="104"/>
      <c r="AG46" s="158"/>
      <c r="AH46" s="159"/>
      <c r="AI46" s="160"/>
      <c r="AJ46" s="158"/>
      <c r="AK46" s="159"/>
      <c r="AL46" s="160"/>
      <c r="AM46" s="158"/>
      <c r="AN46" s="159"/>
      <c r="AO46" s="160"/>
    </row>
    <row r="47" spans="1:41" ht="16.2" thickBot="1" x14ac:dyDescent="0.35">
      <c r="A47" s="4" t="s">
        <v>51</v>
      </c>
      <c r="B47" s="5">
        <f>+B42+B43+B44+B45+B46</f>
        <v>746562.48100000015</v>
      </c>
      <c r="C47" s="6">
        <f t="shared" ref="C47:L47" si="84">+C42+C43+C44+C45+C46</f>
        <v>748912.60145852342</v>
      </c>
      <c r="D47" s="6">
        <f t="shared" si="84"/>
        <v>770285.2972373321</v>
      </c>
      <c r="E47" s="6">
        <f t="shared" si="84"/>
        <v>770500.48681987985</v>
      </c>
      <c r="F47" s="54">
        <f t="shared" si="9"/>
        <v>3.1479220002796904E-3</v>
      </c>
      <c r="G47" s="54">
        <f t="shared" si="10"/>
        <v>-2.7746467257603102E-2</v>
      </c>
      <c r="H47" s="55">
        <f t="shared" si="11"/>
        <v>2.8825640427619481E-2</v>
      </c>
      <c r="I47" s="5">
        <f>+I42+I43+I44+I45+I46</f>
        <v>-1074.5229999999992</v>
      </c>
      <c r="J47" s="6">
        <f t="shared" si="84"/>
        <v>3457.0468070693505</v>
      </c>
      <c r="K47" s="6">
        <f t="shared" si="84"/>
        <v>-4791.4561451798381</v>
      </c>
      <c r="L47" s="6">
        <f t="shared" si="84"/>
        <v>5223.1191745495944</v>
      </c>
      <c r="M47" s="54">
        <f t="shared" si="12"/>
        <v>4.2172850716730608</v>
      </c>
      <c r="N47" s="54">
        <f t="shared" si="13"/>
        <v>1.7215023371438156</v>
      </c>
      <c r="O47" s="55">
        <f t="shared" si="14"/>
        <v>0.51086157233069107</v>
      </c>
      <c r="P47" s="5">
        <f>+P42+P43+P44+P45+P46</f>
        <v>-4110.3376870588236</v>
      </c>
      <c r="Q47" s="6">
        <f t="shared" ref="Q47:S47" si="85">+Q42+Q43+Q44+Q45+Q46</f>
        <v>4733.6257456407793</v>
      </c>
      <c r="R47" s="6">
        <f t="shared" si="85"/>
        <v>2121.528561767283</v>
      </c>
      <c r="S47" s="6">
        <f t="shared" si="85"/>
        <v>8108.557594549593</v>
      </c>
      <c r="T47" s="54">
        <f t="shared" si="15"/>
        <v>2.1516391367415735</v>
      </c>
      <c r="U47" s="54">
        <f t="shared" si="16"/>
        <v>1.2312335694870673</v>
      </c>
      <c r="V47" s="55">
        <f t="shared" si="17"/>
        <v>0.71296972558863692</v>
      </c>
      <c r="W47" s="5">
        <f>+W42+W43+W44+W45+W46</f>
        <v>-12225.442000000001</v>
      </c>
      <c r="X47" s="6">
        <f t="shared" ref="X47:Z47" si="86">+X42+X43+X44+X45+X46</f>
        <v>-3843.9172523632196</v>
      </c>
      <c r="Y47" s="6">
        <f t="shared" si="86"/>
        <v>-15014.845567885352</v>
      </c>
      <c r="Z47" s="6">
        <f t="shared" si="86"/>
        <v>-2570.9347294235668</v>
      </c>
      <c r="AA47" s="54">
        <f t="shared" si="18"/>
        <v>0.6855805088794974</v>
      </c>
      <c r="AB47" s="54">
        <f t="shared" si="19"/>
        <v>0.74399222189905045</v>
      </c>
      <c r="AC47" s="55">
        <f t="shared" si="20"/>
        <v>0.33116803494066638</v>
      </c>
      <c r="AD47" s="5">
        <f t="shared" ref="AD47:AF47" si="87">+AD42+AD43+AD44+AD45+AD46</f>
        <v>61978.008865000003</v>
      </c>
      <c r="AE47" s="6">
        <f t="shared" si="87"/>
        <v>25513.927</v>
      </c>
      <c r="AF47" s="7">
        <f t="shared" si="87"/>
        <v>31105.279071550001</v>
      </c>
      <c r="AG47" s="129">
        <f t="shared" ref="AG47:AI47" si="88">+AG42+AG43+AG44+AG45+AG46</f>
        <v>23174.845172602738</v>
      </c>
      <c r="AH47" s="130">
        <f t="shared" ref="AH47" si="89">+AH42+AH43+AH44+AH45+AH46</f>
        <v>24253.526196011557</v>
      </c>
      <c r="AI47" s="131">
        <f t="shared" si="88"/>
        <v>24463.250633147854</v>
      </c>
      <c r="AJ47" s="129">
        <f t="shared" ref="AJ47:AL47" si="90">+AJ42+AJ43+AJ44+AJ45+AJ46</f>
        <v>8456.6445178082195</v>
      </c>
      <c r="AK47" s="130">
        <f t="shared" si="90"/>
        <v>9346.3440845298519</v>
      </c>
      <c r="AL47" s="131">
        <f t="shared" si="90"/>
        <v>9945.7112500000003</v>
      </c>
      <c r="AM47" s="129">
        <f t="shared" ref="AM47:AO47" si="91">+AM42+AM43+AM44+AM45+AM46</f>
        <v>335.57967260273972</v>
      </c>
      <c r="AN47" s="130">
        <f t="shared" si="91"/>
        <v>341.97166666666664</v>
      </c>
      <c r="AO47" s="131">
        <f t="shared" si="91"/>
        <v>357.64</v>
      </c>
    </row>
    <row r="48" spans="1:41" x14ac:dyDescent="0.3">
      <c r="A48" s="10" t="s">
        <v>52</v>
      </c>
      <c r="B48" s="72"/>
      <c r="C48" s="47"/>
      <c r="D48" s="47"/>
      <c r="E48" s="47"/>
      <c r="F48" s="75" t="str">
        <f t="shared" si="9"/>
        <v>N/A</v>
      </c>
      <c r="G48" s="75" t="str">
        <f t="shared" si="10"/>
        <v>N/A</v>
      </c>
      <c r="H48" s="76" t="str">
        <f t="shared" si="11"/>
        <v>N/A</v>
      </c>
      <c r="I48" s="72"/>
      <c r="J48" s="47"/>
      <c r="K48" s="47"/>
      <c r="L48" s="47"/>
      <c r="M48" s="75" t="str">
        <f t="shared" si="12"/>
        <v>N/A</v>
      </c>
      <c r="N48" s="75" t="str">
        <f t="shared" si="13"/>
        <v>N/A</v>
      </c>
      <c r="O48" s="76" t="str">
        <f t="shared" si="14"/>
        <v>N/A</v>
      </c>
      <c r="P48" s="72"/>
      <c r="Q48" s="47"/>
      <c r="R48" s="47"/>
      <c r="S48" s="47"/>
      <c r="T48" s="75" t="str">
        <f t="shared" si="15"/>
        <v>N/A</v>
      </c>
      <c r="U48" s="75" t="str">
        <f t="shared" si="16"/>
        <v>N/A</v>
      </c>
      <c r="V48" s="76" t="str">
        <f t="shared" si="17"/>
        <v>N/A</v>
      </c>
      <c r="W48" s="72"/>
      <c r="X48" s="47"/>
      <c r="Y48" s="47"/>
      <c r="Z48" s="47"/>
      <c r="AA48" s="75" t="str">
        <f t="shared" si="18"/>
        <v>N/A</v>
      </c>
      <c r="AB48" s="75" t="str">
        <f t="shared" si="19"/>
        <v>N/A</v>
      </c>
      <c r="AC48" s="76" t="str">
        <f t="shared" si="20"/>
        <v>N/A</v>
      </c>
      <c r="AD48" s="72"/>
      <c r="AE48" s="47"/>
      <c r="AF48" s="82"/>
      <c r="AG48" s="161"/>
      <c r="AH48" s="162"/>
      <c r="AI48" s="163"/>
      <c r="AJ48" s="161"/>
      <c r="AK48" s="162"/>
      <c r="AL48" s="163"/>
      <c r="AM48" s="161"/>
      <c r="AN48" s="162"/>
      <c r="AO48" s="163"/>
    </row>
    <row r="49" spans="1:41" ht="15" thickBot="1" x14ac:dyDescent="0.35">
      <c r="A49" s="10" t="s">
        <v>53</v>
      </c>
      <c r="B49" s="73"/>
      <c r="C49" s="74"/>
      <c r="D49" s="74"/>
      <c r="E49" s="74"/>
      <c r="F49" s="77" t="str">
        <f t="shared" si="9"/>
        <v>N/A</v>
      </c>
      <c r="G49" s="77" t="str">
        <f t="shared" si="10"/>
        <v>N/A</v>
      </c>
      <c r="H49" s="78" t="str">
        <f t="shared" si="11"/>
        <v>N/A</v>
      </c>
      <c r="I49" s="73"/>
      <c r="J49" s="74"/>
      <c r="K49" s="74"/>
      <c r="L49" s="74"/>
      <c r="M49" s="77" t="str">
        <f t="shared" si="12"/>
        <v>N/A</v>
      </c>
      <c r="N49" s="77" t="str">
        <f t="shared" si="13"/>
        <v>N/A</v>
      </c>
      <c r="O49" s="78" t="str">
        <f t="shared" si="14"/>
        <v>N/A</v>
      </c>
      <c r="P49" s="73"/>
      <c r="Q49" s="74"/>
      <c r="R49" s="74"/>
      <c r="S49" s="74"/>
      <c r="T49" s="77" t="str">
        <f t="shared" si="15"/>
        <v>N/A</v>
      </c>
      <c r="U49" s="77" t="str">
        <f t="shared" si="16"/>
        <v>N/A</v>
      </c>
      <c r="V49" s="78" t="str">
        <f t="shared" si="17"/>
        <v>N/A</v>
      </c>
      <c r="W49" s="73"/>
      <c r="X49" s="74"/>
      <c r="Y49" s="74"/>
      <c r="Z49" s="74"/>
      <c r="AA49" s="77" t="str">
        <f t="shared" si="18"/>
        <v>N/A</v>
      </c>
      <c r="AB49" s="77" t="str">
        <f t="shared" si="19"/>
        <v>N/A</v>
      </c>
      <c r="AC49" s="78" t="str">
        <f t="shared" si="20"/>
        <v>N/A</v>
      </c>
      <c r="AD49" s="73"/>
      <c r="AE49" s="74"/>
      <c r="AF49" s="83"/>
      <c r="AG49" s="164"/>
      <c r="AH49" s="165"/>
      <c r="AI49" s="166"/>
      <c r="AJ49" s="164"/>
      <c r="AK49" s="165"/>
      <c r="AL49" s="166"/>
      <c r="AM49" s="164"/>
      <c r="AN49" s="165"/>
      <c r="AO49" s="166"/>
    </row>
    <row r="50" spans="1:41" ht="16.2" thickBot="1" x14ac:dyDescent="0.35">
      <c r="A50" s="4" t="s">
        <v>51</v>
      </c>
      <c r="B50" s="5">
        <f>+B47+B48+B49</f>
        <v>746562.48100000015</v>
      </c>
      <c r="C50" s="6">
        <f t="shared" ref="C50:E50" si="92">+C47+C48+C49</f>
        <v>748912.60145852342</v>
      </c>
      <c r="D50" s="6">
        <f t="shared" si="92"/>
        <v>770285.2972373321</v>
      </c>
      <c r="E50" s="6">
        <f t="shared" si="92"/>
        <v>770500.48681987985</v>
      </c>
      <c r="F50" s="54">
        <f t="shared" si="9"/>
        <v>3.1479220002796904E-3</v>
      </c>
      <c r="G50" s="54">
        <f t="shared" si="10"/>
        <v>-2.7746467257603102E-2</v>
      </c>
      <c r="H50" s="55">
        <f t="shared" si="11"/>
        <v>2.8825640427619481E-2</v>
      </c>
      <c r="I50" s="5">
        <f>+I47+I48+I49</f>
        <v>-1074.5229999999992</v>
      </c>
      <c r="J50" s="6">
        <f t="shared" ref="J50:L50" si="93">+J47+J48+J49</f>
        <v>3457.0468070693505</v>
      </c>
      <c r="K50" s="6">
        <f t="shared" si="93"/>
        <v>-4791.4561451798381</v>
      </c>
      <c r="L50" s="6">
        <f t="shared" si="93"/>
        <v>5223.1191745495944</v>
      </c>
      <c r="M50" s="54">
        <f t="shared" si="12"/>
        <v>4.2172850716730608</v>
      </c>
      <c r="N50" s="54">
        <f t="shared" si="13"/>
        <v>1.7215023371438156</v>
      </c>
      <c r="O50" s="55">
        <f t="shared" si="14"/>
        <v>0.51086157233069107</v>
      </c>
      <c r="P50" s="5">
        <f>+P47+P48+P49</f>
        <v>-4110.3376870588236</v>
      </c>
      <c r="Q50" s="6">
        <f t="shared" ref="Q50:S50" si="94">+Q47+Q48+Q49</f>
        <v>4733.6257456407793</v>
      </c>
      <c r="R50" s="6">
        <f t="shared" si="94"/>
        <v>2121.528561767283</v>
      </c>
      <c r="S50" s="6">
        <f t="shared" si="94"/>
        <v>8108.557594549593</v>
      </c>
      <c r="T50" s="54">
        <f t="shared" si="15"/>
        <v>2.1516391367415735</v>
      </c>
      <c r="U50" s="54">
        <f t="shared" si="16"/>
        <v>1.2312335694870673</v>
      </c>
      <c r="V50" s="55">
        <f t="shared" si="17"/>
        <v>0.71296972558863692</v>
      </c>
      <c r="W50" s="5">
        <f>+W47+W48+W49</f>
        <v>-12225.442000000001</v>
      </c>
      <c r="X50" s="6">
        <f t="shared" ref="X50:Z50" si="95">+X47+X48+X49</f>
        <v>-3843.9172523632196</v>
      </c>
      <c r="Y50" s="6">
        <f t="shared" si="95"/>
        <v>-15014.845567885352</v>
      </c>
      <c r="Z50" s="6">
        <f t="shared" si="95"/>
        <v>-2570.9347294235668</v>
      </c>
      <c r="AA50" s="54">
        <f t="shared" si="18"/>
        <v>0.6855805088794974</v>
      </c>
      <c r="AB50" s="54">
        <f t="shared" si="19"/>
        <v>0.74399222189905045</v>
      </c>
      <c r="AC50" s="55">
        <f t="shared" si="20"/>
        <v>0.33116803494066638</v>
      </c>
      <c r="AD50" s="5">
        <f t="shared" ref="AD50:AF50" si="96">+AD47+AD48+AD49</f>
        <v>61978.008865000003</v>
      </c>
      <c r="AE50" s="6">
        <f t="shared" si="96"/>
        <v>25513.927</v>
      </c>
      <c r="AF50" s="7">
        <f t="shared" si="96"/>
        <v>31105.279071550001</v>
      </c>
      <c r="AG50" s="129">
        <f t="shared" ref="AG50:AI50" si="97">+AG47+AG48+AG49</f>
        <v>23174.845172602738</v>
      </c>
      <c r="AH50" s="130">
        <f t="shared" ref="AH50" si="98">+AH47+AH48+AH49</f>
        <v>24253.526196011557</v>
      </c>
      <c r="AI50" s="131">
        <f t="shared" si="97"/>
        <v>24463.250633147854</v>
      </c>
      <c r="AJ50" s="129">
        <f t="shared" ref="AJ50:AL50" si="99">+AJ47+AJ48+AJ49</f>
        <v>8456.6445178082195</v>
      </c>
      <c r="AK50" s="130">
        <f t="shared" si="99"/>
        <v>9346.3440845298519</v>
      </c>
      <c r="AL50" s="131">
        <f t="shared" si="99"/>
        <v>9945.7112500000003</v>
      </c>
      <c r="AM50" s="129">
        <f t="shared" ref="AM50:AO50" si="100">+AM47+AM48+AM49</f>
        <v>335.57967260273972</v>
      </c>
      <c r="AN50" s="130">
        <f t="shared" si="100"/>
        <v>341.97166666666664</v>
      </c>
      <c r="AO50" s="131">
        <f t="shared" si="100"/>
        <v>357.64</v>
      </c>
    </row>
    <row r="51" spans="1:41" x14ac:dyDescent="0.3">
      <c r="A51" s="8" t="s">
        <v>2</v>
      </c>
      <c r="I51" s="85">
        <v>-11150.918999999998</v>
      </c>
      <c r="J51" s="44">
        <v>-7300.9643599999999</v>
      </c>
      <c r="K51" s="44">
        <f>-10523.3894227055+300</f>
        <v>-10223.389422705501</v>
      </c>
      <c r="L51" s="86">
        <v>-7794.0534466100598</v>
      </c>
      <c r="M51" s="87">
        <f t="shared" ref="M51:M53" si="101">IF(OR(J51=0,I51=0),"N/A",IF(OR(AND(J51&gt;0,I51&gt;0),AND(J51&lt;0,I51&gt;0)),J51/I51-1,-(J51/I51-1)))</f>
        <v>0.34525895488972691</v>
      </c>
      <c r="N51" s="87">
        <f t="shared" ref="N51:N53" si="102">IF(OR(J51=0,K51=0),"N/A",IF(OR(AND(J51&gt;0,K51&gt;0),AND(J51&lt;0,K51&gt;0)),J51/K51-1,-(J51/K51-1)))</f>
        <v>0.28585676842310048</v>
      </c>
      <c r="O51" s="88">
        <f t="shared" ref="O51:O53" si="103">IF(OR(L51=0,J51=0),"N/A",IF(OR(AND(L51&gt;0,J51&gt;0),AND(L51&lt;0,J51&gt;0)),L51/J51-1,-(L51/J51-1)))</f>
        <v>-6.7537528235524835E-2</v>
      </c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</row>
    <row r="52" spans="1:41" ht="15" thickBot="1" x14ac:dyDescent="0.35">
      <c r="A52" s="53" t="s">
        <v>64</v>
      </c>
      <c r="B52" s="23"/>
      <c r="C52" s="23"/>
      <c r="D52" s="23"/>
      <c r="E52" s="23"/>
      <c r="F52" s="69"/>
      <c r="G52" s="69"/>
      <c r="H52" s="69"/>
      <c r="I52" s="52">
        <f>316.187-208.264</f>
        <v>107.923</v>
      </c>
      <c r="J52" s="45">
        <f>-156.076+361.282-500</f>
        <v>-294.79399999999998</v>
      </c>
      <c r="K52" s="45">
        <f>592.50765-300</f>
        <v>292.50765000000001</v>
      </c>
      <c r="L52" s="70">
        <f>576.213-500</f>
        <v>76.212999999999965</v>
      </c>
      <c r="M52" s="71">
        <f t="shared" si="101"/>
        <v>-3.7315215477701691</v>
      </c>
      <c r="N52" s="71">
        <f t="shared" si="102"/>
        <v>-2.0078163767682655</v>
      </c>
      <c r="O52" s="89">
        <f t="shared" si="103"/>
        <v>1.258529685136061</v>
      </c>
      <c r="P52" s="125"/>
      <c r="Q52" s="125"/>
      <c r="R52" s="119"/>
      <c r="S52" s="125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</row>
    <row r="53" spans="1:41" ht="16.2" thickBot="1" x14ac:dyDescent="0.35">
      <c r="A53" s="4" t="s">
        <v>3</v>
      </c>
      <c r="B53" s="23"/>
      <c r="C53" s="23"/>
      <c r="D53" s="23"/>
      <c r="E53" s="23"/>
      <c r="F53" s="23"/>
      <c r="G53" s="23"/>
      <c r="H53" s="23"/>
      <c r="I53" s="5">
        <f>+I50+I51+I52</f>
        <v>-12117.518999999997</v>
      </c>
      <c r="J53" s="6">
        <f t="shared" ref="J53:L53" si="104">+J50+J51+J52</f>
        <v>-4138.7115529306493</v>
      </c>
      <c r="K53" s="6">
        <f t="shared" si="104"/>
        <v>-14722.337917885339</v>
      </c>
      <c r="L53" s="6">
        <f t="shared" si="104"/>
        <v>-2494.7212720604657</v>
      </c>
      <c r="M53" s="56">
        <f t="shared" si="101"/>
        <v>0.65845223325578028</v>
      </c>
      <c r="N53" s="56">
        <f t="shared" si="102"/>
        <v>0.71888217917462949</v>
      </c>
      <c r="O53" s="90">
        <f t="shared" si="103"/>
        <v>0.3972227249579795</v>
      </c>
    </row>
    <row r="54" spans="1:41" s="23" customFormat="1" ht="16.2" thickBot="1" x14ac:dyDescent="0.35">
      <c r="A54" s="4" t="s">
        <v>77</v>
      </c>
      <c r="I54" s="5">
        <f>+I50-I57-I58</f>
        <v>26708.004999999997</v>
      </c>
      <c r="J54" s="6">
        <f t="shared" ref="J54:L54" si="105">+J50-J57-J58</f>
        <v>32234.062234462614</v>
      </c>
      <c r="K54" s="6">
        <f t="shared" si="105"/>
        <v>24618.384802821558</v>
      </c>
      <c r="L54" s="6">
        <f t="shared" si="105"/>
        <v>35414.120766735054</v>
      </c>
      <c r="M54" s="56">
        <f t="shared" ref="M54" si="106">IF(OR(J54=0,I54=0),"N/A",IF(OR(AND(J54&gt;0,I54&gt;0),AND(J54&lt;0,I54&gt;0)),J54/I54-1,-(J54/I54-1)))</f>
        <v>0.20690640257340887</v>
      </c>
      <c r="N54" s="56">
        <f t="shared" ref="N54" si="107">IF(OR(J54=0,K54=0),"N/A",IF(OR(AND(J54&gt;0,K54&gt;0),AND(J54&lt;0,K54&gt;0)),J54/K54-1,-(J54/K54-1)))</f>
        <v>0.30934919137214112</v>
      </c>
      <c r="O54" s="90">
        <f t="shared" ref="O54" si="108">IF(OR(L54=0,J54=0),"N/A",IF(OR(AND(L54&gt;0,J54&gt;0),AND(L54&lt;0,J54&gt;0)),L54/J54-1,-(L54/J54-1)))</f>
        <v>9.8655220962889478E-2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 s="69"/>
      <c r="AG54"/>
      <c r="AH54"/>
      <c r="AI54" s="69"/>
      <c r="AJ54"/>
      <c r="AK54"/>
      <c r="AL54" s="69"/>
      <c r="AM54"/>
      <c r="AN54"/>
      <c r="AO54" s="69"/>
    </row>
    <row r="55" spans="1:41" x14ac:dyDescent="0.3">
      <c r="A5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69"/>
      <c r="AE55" s="23"/>
      <c r="AF55" s="69"/>
      <c r="AG55" s="69"/>
      <c r="AH55" s="23"/>
      <c r="AI55" s="69"/>
      <c r="AJ55" s="69"/>
      <c r="AK55" s="23"/>
      <c r="AL55" s="69"/>
      <c r="AM55" s="69"/>
      <c r="AN55" s="23"/>
      <c r="AO55" s="69"/>
    </row>
    <row r="56" spans="1:41" x14ac:dyDescent="0.3">
      <c r="A56"/>
      <c r="B56" s="23"/>
      <c r="C56" s="23"/>
      <c r="D56" s="23"/>
      <c r="E56" s="23"/>
      <c r="F56" s="23"/>
      <c r="G56" s="23"/>
      <c r="H56" s="79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124">
        <f>+W50-I50-I51</f>
        <v>0</v>
      </c>
      <c r="X56" s="124">
        <f>+X50-J50-J51</f>
        <v>3.0056742980377749E-4</v>
      </c>
      <c r="Y56" s="124">
        <f>+Y50-K50-K51</f>
        <v>0</v>
      </c>
      <c r="Z56" s="124">
        <f>+Z50-L50-L51</f>
        <v>-4.5736310130450875E-4</v>
      </c>
      <c r="AA56" s="23"/>
      <c r="AB56" s="23"/>
      <c r="AC56" s="23"/>
      <c r="AE56" s="23"/>
      <c r="AG56" s="167"/>
      <c r="AH56" s="23"/>
      <c r="AJ56" s="167"/>
      <c r="AK56" s="23"/>
      <c r="AM56" s="167"/>
      <c r="AN56" s="23"/>
    </row>
    <row r="57" spans="1:41" ht="15" hidden="1" x14ac:dyDescent="0.25">
      <c r="A57" s="108" t="s">
        <v>72</v>
      </c>
      <c r="I57" s="113">
        <v>-7348</v>
      </c>
      <c r="J57" s="113">
        <v>-8206.9755901666667</v>
      </c>
      <c r="K57" s="113">
        <v>-7531</v>
      </c>
      <c r="L57" s="113">
        <v>-8941.9088685666666</v>
      </c>
      <c r="M57" s="108"/>
      <c r="N57" s="108"/>
      <c r="O57" s="108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</row>
    <row r="58" spans="1:41" ht="15" hidden="1" x14ac:dyDescent="0.25">
      <c r="A58" s="109" t="s">
        <v>73</v>
      </c>
      <c r="I58" s="115">
        <v>-20434.527999999998</v>
      </c>
      <c r="J58" s="115">
        <f>+J59-J60*0.5-J61*0.5</f>
        <v>-20570.039837226595</v>
      </c>
      <c r="K58" s="115">
        <f t="shared" ref="K58:L58" si="109">+K59-K60*0.5-K61*0.5</f>
        <v>-21878.840948001398</v>
      </c>
      <c r="L58" s="115">
        <f t="shared" si="109"/>
        <v>-21249.092723618793</v>
      </c>
      <c r="M58" s="109"/>
      <c r="N58" s="109"/>
      <c r="O58" s="109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</row>
    <row r="59" spans="1:41" ht="15" hidden="1" x14ac:dyDescent="0.25">
      <c r="A59" s="110" t="s">
        <v>74</v>
      </c>
      <c r="I59" s="114">
        <v>-21952.051069999998</v>
      </c>
      <c r="J59" s="114">
        <v>-22111.879051975484</v>
      </c>
      <c r="K59" s="114">
        <v>-23461.034953001395</v>
      </c>
      <c r="L59" s="114">
        <v>-23613.273316359282</v>
      </c>
      <c r="M59" s="110"/>
      <c r="N59" s="110"/>
      <c r="O59" s="110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</row>
    <row r="60" spans="1:41" ht="15" hidden="1" x14ac:dyDescent="0.25">
      <c r="A60" s="110" t="s">
        <v>75</v>
      </c>
      <c r="I60" s="114">
        <v>-123.98966</v>
      </c>
      <c r="J60" s="114">
        <v>-105.259</v>
      </c>
      <c r="K60" s="114">
        <v>-179.42857000000001</v>
      </c>
      <c r="L60" s="114">
        <v>-86.361666666666679</v>
      </c>
      <c r="M60" s="110"/>
      <c r="N60" s="110"/>
      <c r="O60" s="110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</row>
    <row r="61" spans="1:41" ht="15" hidden="1" x14ac:dyDescent="0.25">
      <c r="A61" s="110" t="s">
        <v>76</v>
      </c>
      <c r="I61" s="112">
        <v>-2885.29</v>
      </c>
      <c r="J61" s="114">
        <v>-2978.4194294977779</v>
      </c>
      <c r="K61" s="112">
        <v>-2984.9594400000001</v>
      </c>
      <c r="L61" s="114">
        <v>-4641.9995188143121</v>
      </c>
      <c r="M61" s="110"/>
      <c r="N61" s="110"/>
      <c r="O61" s="110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</row>
    <row r="62" spans="1:41" ht="15" hidden="1" x14ac:dyDescent="0.25">
      <c r="I62" s="111"/>
      <c r="K62" s="25"/>
    </row>
    <row r="63" spans="1:41" ht="15" hidden="1" x14ac:dyDescent="0.25">
      <c r="H63" s="41" t="s">
        <v>77</v>
      </c>
      <c r="I63" s="116">
        <f>+I50-I57-I58</f>
        <v>26708.004999999997</v>
      </c>
      <c r="J63" s="116">
        <f t="shared" ref="J63:L63" si="110">+J50-J57-J58</f>
        <v>32234.062234462614</v>
      </c>
      <c r="K63" s="117">
        <f t="shared" si="110"/>
        <v>24618.384802821558</v>
      </c>
      <c r="L63" s="116">
        <f t="shared" si="110"/>
        <v>35414.120766735054</v>
      </c>
    </row>
    <row r="64" spans="1:41" ht="15" hidden="1" x14ac:dyDescent="0.25">
      <c r="K64" s="24"/>
    </row>
    <row r="65" spans="9:41" ht="15" hidden="1" x14ac:dyDescent="0.25">
      <c r="I65" s="23"/>
      <c r="J65" s="23"/>
      <c r="K65" s="23"/>
      <c r="L65" s="23"/>
    </row>
    <row r="66" spans="9:41" ht="15" hidden="1" x14ac:dyDescent="0.25">
      <c r="L66" s="23"/>
    </row>
    <row r="67" spans="9:41" x14ac:dyDescent="0.3">
      <c r="P67" s="23"/>
      <c r="Q67" s="23"/>
      <c r="R67" s="23"/>
      <c r="S67" s="23"/>
      <c r="AG67" s="167"/>
      <c r="AH67" s="167"/>
      <c r="AI67" s="167"/>
      <c r="AJ67" s="167"/>
      <c r="AK67" s="167"/>
      <c r="AL67" s="167"/>
      <c r="AM67" s="167"/>
      <c r="AN67" s="167"/>
      <c r="AO67" s="167"/>
    </row>
    <row r="69" spans="9:41" x14ac:dyDescent="0.3">
      <c r="AG69" s="167"/>
      <c r="AJ69" s="167"/>
      <c r="AM69" s="167"/>
    </row>
  </sheetData>
  <mergeCells count="8">
    <mergeCell ref="AG1:AI1"/>
    <mergeCell ref="AJ1:AL1"/>
    <mergeCell ref="AM1:AO1"/>
    <mergeCell ref="B1:H1"/>
    <mergeCell ref="I1:O1"/>
    <mergeCell ref="AD1:AF1"/>
    <mergeCell ref="P1:V1"/>
    <mergeCell ref="W1:AC1"/>
  </mergeCells>
  <pageMargins left="0.70866141732283472" right="0.70866141732283472" top="0.74803149606299213" bottom="0.74803149606299213" header="0.31496062992125984" footer="0.31496062992125984"/>
  <pageSetup paperSize="9" scale="55" fitToWidth="3" orientation="landscape" r:id="rId1"/>
  <colBreaks count="1" manualBreakCount="1">
    <brk id="29" max="5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G67"/>
  <sheetViews>
    <sheetView zoomScale="90" zoomScaleNormal="90" workbookViewId="0">
      <pane xSplit="1" ySplit="2" topLeftCell="B41" activePane="bottomRight" state="frozen"/>
      <selection pane="topRight" activeCell="B1" sqref="B1"/>
      <selection pane="bottomLeft" activeCell="A3" sqref="A3"/>
      <selection pane="bottomRight" activeCell="B45" activeCellId="1" sqref="B43 B45"/>
    </sheetView>
  </sheetViews>
  <sheetFormatPr baseColWidth="10" defaultRowHeight="14.4" x14ac:dyDescent="0.3"/>
  <cols>
    <col min="1" max="1" width="55.88671875" style="24" customWidth="1"/>
    <col min="2" max="11" width="11.5546875" customWidth="1"/>
    <col min="33" max="33" width="11.44140625" style="23"/>
  </cols>
  <sheetData>
    <row r="1" spans="1:33" ht="18.600000000000001" thickBot="1" x14ac:dyDescent="0.4">
      <c r="A1"/>
      <c r="B1" s="171" t="s">
        <v>0</v>
      </c>
      <c r="C1" s="172"/>
      <c r="D1" s="172"/>
      <c r="E1" s="172"/>
      <c r="F1" s="172"/>
      <c r="G1" s="172"/>
      <c r="H1" s="173"/>
      <c r="I1" s="171" t="s">
        <v>1</v>
      </c>
      <c r="J1" s="172"/>
      <c r="K1" s="172"/>
      <c r="L1" s="172"/>
      <c r="M1" s="172"/>
      <c r="N1" s="172"/>
      <c r="O1" s="173"/>
      <c r="P1" s="171" t="s">
        <v>2</v>
      </c>
      <c r="Q1" s="172"/>
      <c r="R1" s="172"/>
      <c r="S1" s="172"/>
      <c r="T1" s="172"/>
      <c r="U1" s="172"/>
      <c r="V1" s="173"/>
      <c r="W1" s="171" t="s">
        <v>3</v>
      </c>
      <c r="X1" s="172"/>
      <c r="Y1" s="172"/>
      <c r="Z1" s="172"/>
      <c r="AA1" s="172"/>
      <c r="AB1" s="172"/>
      <c r="AC1" s="173"/>
    </row>
    <row r="2" spans="1:33" ht="15.75" thickBot="1" x14ac:dyDescent="0.3">
      <c r="A2" s="26" t="s">
        <v>58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3" t="s">
        <v>10</v>
      </c>
      <c r="I2" s="1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3" t="s">
        <v>10</v>
      </c>
      <c r="P2" s="1" t="s">
        <v>4</v>
      </c>
      <c r="Q2" s="2" t="s">
        <v>5</v>
      </c>
      <c r="R2" s="2" t="s">
        <v>6</v>
      </c>
      <c r="S2" s="2" t="s">
        <v>7</v>
      </c>
      <c r="T2" s="2" t="s">
        <v>8</v>
      </c>
      <c r="U2" s="2" t="s">
        <v>9</v>
      </c>
      <c r="V2" s="3" t="s">
        <v>10</v>
      </c>
      <c r="W2" s="1" t="s">
        <v>4</v>
      </c>
      <c r="X2" s="2" t="s">
        <v>5</v>
      </c>
      <c r="Y2" s="2" t="s">
        <v>6</v>
      </c>
      <c r="Z2" s="2" t="s">
        <v>7</v>
      </c>
      <c r="AA2" s="2" t="s">
        <v>8</v>
      </c>
      <c r="AB2" s="2" t="s">
        <v>9</v>
      </c>
      <c r="AC2" s="3" t="s">
        <v>10</v>
      </c>
    </row>
    <row r="3" spans="1:33" ht="16.2" thickBot="1" x14ac:dyDescent="0.35">
      <c r="A3" s="4" t="s">
        <v>11</v>
      </c>
      <c r="B3" s="5">
        <f>SUM(B4:B10)</f>
        <v>432099.97583000007</v>
      </c>
      <c r="C3" s="6">
        <f t="shared" ref="C3:H3" si="0">SUM(C4:C10)</f>
        <v>445971.92484118551</v>
      </c>
      <c r="D3" s="6">
        <f>SUM(D4:D10)</f>
        <v>434691.61016566661</v>
      </c>
      <c r="E3" s="6">
        <f t="shared" si="0"/>
        <v>443131.03772245115</v>
      </c>
      <c r="F3" s="6">
        <f t="shared" si="0"/>
        <v>467835.06784798508</v>
      </c>
      <c r="G3" s="6">
        <f t="shared" si="0"/>
        <v>494874.76719862176</v>
      </c>
      <c r="H3" s="7">
        <f t="shared" si="0"/>
        <v>525387.19337775582</v>
      </c>
      <c r="I3" s="5">
        <f>SUM(I4:I10)</f>
        <v>4063.7038400000033</v>
      </c>
      <c r="J3" s="6">
        <f t="shared" ref="J3:O3" si="1">SUM(J4:J10)</f>
        <v>5252.4580055807146</v>
      </c>
      <c r="K3" s="6">
        <f t="shared" si="1"/>
        <v>2978.3815277551003</v>
      </c>
      <c r="L3" s="6">
        <f t="shared" si="1"/>
        <v>7407.0205971195264</v>
      </c>
      <c r="M3" s="6">
        <f t="shared" si="1"/>
        <v>9716.5439259606246</v>
      </c>
      <c r="N3" s="6">
        <f t="shared" si="1"/>
        <v>12245.27146527715</v>
      </c>
      <c r="O3" s="7">
        <f t="shared" si="1"/>
        <v>15661.870444193441</v>
      </c>
      <c r="P3" s="5">
        <f>SUM(P4:P10)</f>
        <v>-1814.8940399999999</v>
      </c>
      <c r="Q3" s="6">
        <f t="shared" ref="Q3:V3" si="2">SUM(Q4:Q10)</f>
        <v>-671.20141335807568</v>
      </c>
      <c r="R3" s="6">
        <f t="shared" si="2"/>
        <v>-2748.1296999993001</v>
      </c>
      <c r="S3" s="6">
        <f t="shared" si="2"/>
        <v>-872.6142279257956</v>
      </c>
      <c r="T3" s="6">
        <f t="shared" si="2"/>
        <v>-939.17355820158741</v>
      </c>
      <c r="U3" s="6">
        <f t="shared" si="2"/>
        <v>-1064.7159020901615</v>
      </c>
      <c r="V3" s="7">
        <f t="shared" si="2"/>
        <v>-1099.9282964435301</v>
      </c>
      <c r="W3" s="5">
        <f>SUM(W4:W10)</f>
        <v>2248.8098000000027</v>
      </c>
      <c r="X3" s="6">
        <f t="shared" ref="X3:AC3" si="3">SUM(X4:X10)</f>
        <v>4581.2565922226386</v>
      </c>
      <c r="Y3" s="6">
        <f t="shared" si="3"/>
        <v>230.25182775580015</v>
      </c>
      <c r="Z3" s="6">
        <f t="shared" si="3"/>
        <v>6534.4063691937317</v>
      </c>
      <c r="AA3" s="6">
        <f t="shared" si="3"/>
        <v>8777.3703677590365</v>
      </c>
      <c r="AB3" s="6">
        <f t="shared" si="3"/>
        <v>11180.555563186985</v>
      </c>
      <c r="AC3" s="7">
        <f t="shared" si="3"/>
        <v>14561.942147749913</v>
      </c>
      <c r="AE3" s="49">
        <f>+C3/B3-1</f>
        <v>3.210356349717336E-2</v>
      </c>
      <c r="AF3" s="40">
        <v>5.499812402538895E-2</v>
      </c>
    </row>
    <row r="4" spans="1:33" ht="15" x14ac:dyDescent="0.25">
      <c r="A4" s="8" t="s">
        <v>12</v>
      </c>
      <c r="B4" s="9">
        <v>329200</v>
      </c>
      <c r="C4" s="44">
        <v>331520</v>
      </c>
      <c r="D4" s="27">
        <v>337724</v>
      </c>
      <c r="E4" s="27">
        <v>327296</v>
      </c>
      <c r="F4" s="27">
        <v>343696</v>
      </c>
      <c r="G4" s="27">
        <v>363324</v>
      </c>
      <c r="H4" s="28">
        <v>385462</v>
      </c>
      <c r="I4" s="9">
        <v>1519</v>
      </c>
      <c r="J4" s="27">
        <v>451</v>
      </c>
      <c r="K4" s="27">
        <v>2301</v>
      </c>
      <c r="L4" s="27">
        <v>2514</v>
      </c>
      <c r="M4" s="27">
        <v>3116</v>
      </c>
      <c r="N4" s="27">
        <v>4560</v>
      </c>
      <c r="O4" s="28">
        <v>6836</v>
      </c>
      <c r="P4" s="9">
        <v>-1708</v>
      </c>
      <c r="Q4" s="27">
        <v>-892</v>
      </c>
      <c r="R4" s="27">
        <v>-2264</v>
      </c>
      <c r="S4" s="27">
        <v>-1178</v>
      </c>
      <c r="T4" s="27">
        <v>-1267</v>
      </c>
      <c r="U4" s="27">
        <v>-1477</v>
      </c>
      <c r="V4" s="28">
        <v>-1610</v>
      </c>
      <c r="W4" s="9">
        <v>-189</v>
      </c>
      <c r="X4" s="27">
        <v>-441</v>
      </c>
      <c r="Y4" s="27">
        <v>37</v>
      </c>
      <c r="Z4" s="27">
        <v>1336</v>
      </c>
      <c r="AA4" s="27">
        <v>1849</v>
      </c>
      <c r="AB4" s="27">
        <v>3083</v>
      </c>
      <c r="AC4" s="28">
        <v>5226</v>
      </c>
      <c r="AE4" s="49">
        <f t="shared" ref="AE4:AE50" si="4">+C4/B4-1</f>
        <v>7.0473876063184004E-3</v>
      </c>
      <c r="AF4" s="40">
        <v>2.563796911938665E-2</v>
      </c>
      <c r="AG4" s="50">
        <f t="shared" ref="AG4:AG35" si="5">+(B4*(1+AF4))-C4</f>
        <v>6120.0194341021124</v>
      </c>
    </row>
    <row r="5" spans="1:33" ht="15" x14ac:dyDescent="0.25">
      <c r="A5" s="10" t="s">
        <v>13</v>
      </c>
      <c r="B5" s="11">
        <v>47765.74669</v>
      </c>
      <c r="C5" s="45">
        <v>50231.5100311856</v>
      </c>
      <c r="D5" s="19">
        <v>46422.000085666608</v>
      </c>
      <c r="E5" s="19">
        <v>51419.401184851144</v>
      </c>
      <c r="F5" s="19">
        <v>53409.52296462503</v>
      </c>
      <c r="G5" s="19">
        <v>54200.335126925776</v>
      </c>
      <c r="H5" s="20">
        <v>55089.028811590208</v>
      </c>
      <c r="I5" s="11">
        <v>3123.7444200000023</v>
      </c>
      <c r="J5" s="19">
        <v>2383.1427760009451</v>
      </c>
      <c r="K5" s="19">
        <v>1630.9582482321034</v>
      </c>
      <c r="L5" s="19">
        <v>2196.7562471816786</v>
      </c>
      <c r="M5" s="19">
        <v>2822.3433476551822</v>
      </c>
      <c r="N5" s="19">
        <v>2921.390062423889</v>
      </c>
      <c r="O5" s="20">
        <v>3032.3965192771761</v>
      </c>
      <c r="P5" s="11">
        <v>501.10894999999999</v>
      </c>
      <c r="Q5" s="19">
        <v>391.22661690360769</v>
      </c>
      <c r="R5" s="19">
        <v>463.98703000040001</v>
      </c>
      <c r="S5" s="19">
        <v>598.84890076635486</v>
      </c>
      <c r="T5" s="19">
        <v>638.50005121232255</v>
      </c>
      <c r="U5" s="19">
        <v>727.55900744980715</v>
      </c>
      <c r="V5" s="20">
        <v>818.84914575871244</v>
      </c>
      <c r="W5" s="11">
        <v>3624.8533700000021</v>
      </c>
      <c r="X5" s="19">
        <v>2774.3693929045526</v>
      </c>
      <c r="Y5" s="19">
        <v>2094.9452782325034</v>
      </c>
      <c r="Z5" s="19">
        <v>2795.6051479480334</v>
      </c>
      <c r="AA5" s="19">
        <v>3460.8433988675047</v>
      </c>
      <c r="AB5" s="19">
        <v>3648.9490698736959</v>
      </c>
      <c r="AC5" s="20">
        <v>3851.2456650358886</v>
      </c>
      <c r="AE5" s="49">
        <f t="shared" si="4"/>
        <v>5.1621999278864461E-2</v>
      </c>
      <c r="AF5" s="40">
        <v>7.2566851067529692E-2</v>
      </c>
      <c r="AG5" s="23">
        <f t="shared" si="5"/>
        <v>1000.4464849969809</v>
      </c>
    </row>
    <row r="6" spans="1:33" ht="15" x14ac:dyDescent="0.25">
      <c r="A6" s="10" t="s">
        <v>14</v>
      </c>
      <c r="B6" s="11">
        <v>22879.624230000001</v>
      </c>
      <c r="C6" s="45">
        <v>18597.061999999998</v>
      </c>
      <c r="D6" s="19">
        <v>16926.502119999997</v>
      </c>
      <c r="E6" s="19">
        <v>15017.608999999999</v>
      </c>
      <c r="F6" s="19">
        <v>15745.368999999999</v>
      </c>
      <c r="G6" s="19">
        <v>16546.573</v>
      </c>
      <c r="H6" s="20">
        <v>17405.844999999998</v>
      </c>
      <c r="I6" s="11">
        <v>114.56808000000272</v>
      </c>
      <c r="J6" s="19">
        <v>-273.46618000000495</v>
      </c>
      <c r="K6" s="19">
        <v>-364.25569000000257</v>
      </c>
      <c r="L6" s="19">
        <v>-445.2708004000001</v>
      </c>
      <c r="M6" s="19">
        <v>-295.0960938051993</v>
      </c>
      <c r="N6" s="19">
        <v>-112.94060602466598</v>
      </c>
      <c r="O6" s="20">
        <v>95.677738097009694</v>
      </c>
      <c r="P6" s="11">
        <v>24.559609999999992</v>
      </c>
      <c r="Q6" s="19">
        <v>16.064127734316656</v>
      </c>
      <c r="R6" s="19">
        <v>0</v>
      </c>
      <c r="S6" s="19">
        <v>-24.982596885290338</v>
      </c>
      <c r="T6" s="19">
        <v>-41.656836392613066</v>
      </c>
      <c r="U6" s="19">
        <v>-52.216123467241822</v>
      </c>
      <c r="V6" s="20">
        <v>-56.20443854931063</v>
      </c>
      <c r="W6" s="11">
        <v>139.1276900000027</v>
      </c>
      <c r="X6" s="19">
        <v>-257.40205226568833</v>
      </c>
      <c r="Y6" s="19">
        <v>-364.25569000000257</v>
      </c>
      <c r="Z6" s="19">
        <v>-470.25339728529042</v>
      </c>
      <c r="AA6" s="19">
        <v>-336.75293019781236</v>
      </c>
      <c r="AB6" s="19">
        <v>-165.15672949190781</v>
      </c>
      <c r="AC6" s="20">
        <v>39.473299547699064</v>
      </c>
      <c r="AE6" s="49">
        <f t="shared" si="4"/>
        <v>-0.18717799676030789</v>
      </c>
      <c r="AF6" s="40">
        <v>-0.13102325156700778</v>
      </c>
      <c r="AG6" s="23">
        <f t="shared" si="5"/>
        <v>1284.7994687541068</v>
      </c>
    </row>
    <row r="7" spans="1:33" x14ac:dyDescent="0.3">
      <c r="A7" s="10" t="s">
        <v>15</v>
      </c>
      <c r="B7" s="11">
        <v>12311.57173</v>
      </c>
      <c r="C7" s="45">
        <v>20278.74136</v>
      </c>
      <c r="D7" s="19">
        <v>13248.125</v>
      </c>
      <c r="E7" s="19">
        <v>19950</v>
      </c>
      <c r="F7" s="19">
        <v>20212.5</v>
      </c>
      <c r="G7" s="19">
        <v>20212.5</v>
      </c>
      <c r="H7" s="20">
        <v>20475</v>
      </c>
      <c r="I7" s="11">
        <v>1164.2396899999967</v>
      </c>
      <c r="J7" s="19">
        <v>3004.3890700000034</v>
      </c>
      <c r="K7" s="19">
        <v>686.5400949999979</v>
      </c>
      <c r="L7" s="19">
        <v>2722.3891666666664</v>
      </c>
      <c r="M7" s="19">
        <v>2696.2037017543867</v>
      </c>
      <c r="N7" s="19">
        <v>2593.484868421051</v>
      </c>
      <c r="O7" s="20">
        <v>2607.1689035087716</v>
      </c>
      <c r="P7" s="11">
        <v>-144.33287000000001</v>
      </c>
      <c r="Q7" s="19">
        <v>28.174952003999998</v>
      </c>
      <c r="R7" s="19">
        <v>-268.30696000000006</v>
      </c>
      <c r="S7" s="19">
        <v>44.704868193139909</v>
      </c>
      <c r="T7" s="19">
        <v>51.985626978703181</v>
      </c>
      <c r="U7" s="19">
        <v>59.394613927273063</v>
      </c>
      <c r="V7" s="20">
        <v>66.818396347068031</v>
      </c>
      <c r="W7" s="11">
        <v>1019.9068199999966</v>
      </c>
      <c r="X7" s="19">
        <v>3032.5640220040032</v>
      </c>
      <c r="Y7" s="19">
        <v>418.2331349999979</v>
      </c>
      <c r="Z7" s="19">
        <v>2767.094034859806</v>
      </c>
      <c r="AA7" s="19">
        <v>2748.1893287330895</v>
      </c>
      <c r="AB7" s="19">
        <v>2652.879482348324</v>
      </c>
      <c r="AC7" s="20">
        <v>2673.9872998558394</v>
      </c>
      <c r="AE7" s="49">
        <f t="shared" si="4"/>
        <v>0.64712855553496418</v>
      </c>
      <c r="AF7" s="40">
        <v>0.62102868673892297</v>
      </c>
      <c r="AG7" s="23">
        <f t="shared" si="5"/>
        <v>-321.33040682605133</v>
      </c>
    </row>
    <row r="8" spans="1:33" ht="15" x14ac:dyDescent="0.25">
      <c r="A8" s="10" t="s">
        <v>16</v>
      </c>
      <c r="B8" s="11">
        <v>11677.867660000002</v>
      </c>
      <c r="C8" s="45">
        <v>17999.06151</v>
      </c>
      <c r="D8" s="19">
        <v>12721.1937</v>
      </c>
      <c r="E8" s="19">
        <v>21821.432000000001</v>
      </c>
      <c r="F8" s="19">
        <v>26308.416000000001</v>
      </c>
      <c r="G8" s="19">
        <v>31470.116000000002</v>
      </c>
      <c r="H8" s="20">
        <v>37268.815999999999</v>
      </c>
      <c r="I8" s="11">
        <v>311.25893000000059</v>
      </c>
      <c r="J8" s="19">
        <v>773.71149999999795</v>
      </c>
      <c r="K8" s="19">
        <v>427.88880452520186</v>
      </c>
      <c r="L8" s="19">
        <v>1187.3510000000038</v>
      </c>
      <c r="M8" s="19">
        <v>1798.2399999999993</v>
      </c>
      <c r="N8" s="19">
        <v>2387.2370000000001</v>
      </c>
      <c r="O8" s="20">
        <v>2913.9280000000022</v>
      </c>
      <c r="P8" s="11">
        <v>-100.48757999999999</v>
      </c>
      <c r="Q8" s="19">
        <v>0</v>
      </c>
      <c r="R8" s="19">
        <v>-156.11199999999999</v>
      </c>
      <c r="S8" s="19">
        <v>0</v>
      </c>
      <c r="T8" s="19">
        <v>0</v>
      </c>
      <c r="U8" s="19">
        <v>0</v>
      </c>
      <c r="V8" s="20">
        <v>0</v>
      </c>
      <c r="W8" s="11">
        <v>210.77135000000061</v>
      </c>
      <c r="X8" s="19">
        <v>773.71149999999795</v>
      </c>
      <c r="Y8" s="19">
        <v>271.7768045252019</v>
      </c>
      <c r="Z8" s="19">
        <v>1187.3510000000038</v>
      </c>
      <c r="AA8" s="19">
        <v>1798.2399999999993</v>
      </c>
      <c r="AB8" s="19">
        <v>2387.2370000000001</v>
      </c>
      <c r="AC8" s="20">
        <v>2913.9280000000022</v>
      </c>
      <c r="AE8" s="49">
        <f t="shared" si="4"/>
        <v>0.54129692457912282</v>
      </c>
      <c r="AF8" s="40">
        <v>0.69074171752367275</v>
      </c>
      <c r="AG8" s="50">
        <f t="shared" si="5"/>
        <v>1745.1965144825554</v>
      </c>
    </row>
    <row r="9" spans="1:33" ht="15" x14ac:dyDescent="0.25">
      <c r="A9" s="10" t="s">
        <v>17</v>
      </c>
      <c r="B9" s="11">
        <v>7208.1733000000004</v>
      </c>
      <c r="C9" s="45">
        <v>6161.2879400000002</v>
      </c>
      <c r="D9" s="19">
        <v>6306</v>
      </c>
      <c r="E9" s="19">
        <v>6269.5865375999992</v>
      </c>
      <c r="F9" s="19">
        <v>6950.1618833599987</v>
      </c>
      <c r="G9" s="19">
        <v>7425.1780716959993</v>
      </c>
      <c r="H9" s="20">
        <v>7774.9945661656002</v>
      </c>
      <c r="I9" s="11">
        <v>-1336.0102699999993</v>
      </c>
      <c r="J9" s="19">
        <v>-545.44762333333404</v>
      </c>
      <c r="K9" s="19">
        <v>-1127.7629600017999</v>
      </c>
      <c r="L9" s="19">
        <v>-374.19652140833398</v>
      </c>
      <c r="M9" s="19">
        <v>-115.78232508266063</v>
      </c>
      <c r="N9" s="19">
        <v>36.964208823085215</v>
      </c>
      <c r="O9" s="20">
        <v>152.99632083128816</v>
      </c>
      <c r="P9" s="11">
        <v>-342.43155000000002</v>
      </c>
      <c r="Q9" s="19">
        <v>-189.01770999999999</v>
      </c>
      <c r="R9" s="19">
        <v>-438.0249399997</v>
      </c>
      <c r="S9" s="19">
        <v>-268.786</v>
      </c>
      <c r="T9" s="19">
        <v>-276.60300000000001</v>
      </c>
      <c r="U9" s="19">
        <v>-278.05400000000003</v>
      </c>
      <c r="V9" s="20">
        <v>-274.99200000000002</v>
      </c>
      <c r="W9" s="11">
        <v>-1678.4418199999993</v>
      </c>
      <c r="X9" s="19">
        <v>-734.465333333334</v>
      </c>
      <c r="Y9" s="19">
        <v>-1565.7879000015</v>
      </c>
      <c r="Z9" s="19">
        <v>-642.98252140833392</v>
      </c>
      <c r="AA9" s="19">
        <v>-392.38532508266064</v>
      </c>
      <c r="AB9" s="19">
        <v>-241.08979117691479</v>
      </c>
      <c r="AC9" s="20">
        <v>-121.99567916871185</v>
      </c>
      <c r="AE9" s="49">
        <f t="shared" si="4"/>
        <v>-0.14523587550260486</v>
      </c>
      <c r="AF9" s="40">
        <v>-0.13165583503153855</v>
      </c>
      <c r="AG9" s="23">
        <f t="shared" si="5"/>
        <v>97.887285136459468</v>
      </c>
    </row>
    <row r="10" spans="1:33" ht="15" thickBot="1" x14ac:dyDescent="0.35">
      <c r="A10" s="10" t="s">
        <v>18</v>
      </c>
      <c r="B10" s="12">
        <v>1056.9922200000001</v>
      </c>
      <c r="C10" s="38">
        <v>1184.2619999999999</v>
      </c>
      <c r="D10" s="29">
        <v>1343.78926</v>
      </c>
      <c r="E10" s="29">
        <v>1357.009</v>
      </c>
      <c r="F10" s="29">
        <v>1513.098</v>
      </c>
      <c r="G10" s="29">
        <v>1696.0650000000001</v>
      </c>
      <c r="H10" s="30">
        <v>1911.5089999999998</v>
      </c>
      <c r="I10" s="11">
        <v>-833.09700999999995</v>
      </c>
      <c r="J10" s="19">
        <v>-540.87153708689243</v>
      </c>
      <c r="K10" s="19">
        <v>-575.98697000040011</v>
      </c>
      <c r="L10" s="19">
        <v>-394.0084949204882</v>
      </c>
      <c r="M10" s="19">
        <v>-305.3647045610831</v>
      </c>
      <c r="N10" s="19">
        <v>-140.86406836621086</v>
      </c>
      <c r="O10" s="20">
        <v>23.702962479195151</v>
      </c>
      <c r="P10" s="11">
        <v>-45.310600000000001</v>
      </c>
      <c r="Q10" s="19">
        <v>-25.649399999999996</v>
      </c>
      <c r="R10" s="19">
        <v>-85.672830000000005</v>
      </c>
      <c r="S10" s="19">
        <v>-44.399399999999993</v>
      </c>
      <c r="T10" s="19">
        <v>-44.399399999999993</v>
      </c>
      <c r="U10" s="19">
        <v>-44.399399999999993</v>
      </c>
      <c r="V10" s="20">
        <v>-44.399399999999993</v>
      </c>
      <c r="W10" s="11">
        <v>-878.40760999999998</v>
      </c>
      <c r="X10" s="19">
        <v>-566.52093708689245</v>
      </c>
      <c r="Y10" s="19">
        <v>-661.65980000040008</v>
      </c>
      <c r="Z10" s="19">
        <v>-438.40789492048822</v>
      </c>
      <c r="AA10" s="19">
        <v>-349.76410456108312</v>
      </c>
      <c r="AB10" s="19">
        <v>-185.26346836621084</v>
      </c>
      <c r="AC10" s="20">
        <v>-20.696437520804842</v>
      </c>
      <c r="AE10" s="49">
        <f t="shared" si="4"/>
        <v>0.1204074898488845</v>
      </c>
      <c r="AF10" s="40">
        <v>0.17056087376697615</v>
      </c>
      <c r="AG10" s="23">
        <f t="shared" si="5"/>
        <v>53.011736608096044</v>
      </c>
    </row>
    <row r="11" spans="1:33" ht="16.2" thickBot="1" x14ac:dyDescent="0.35">
      <c r="A11" s="4" t="s">
        <v>19</v>
      </c>
      <c r="B11" s="5">
        <f t="shared" ref="B11:AC11" si="6">+B12+B18</f>
        <v>187192.965845</v>
      </c>
      <c r="C11" s="6">
        <f t="shared" si="6"/>
        <v>194328.374912509</v>
      </c>
      <c r="D11" s="6">
        <f t="shared" si="6"/>
        <v>193922.62370094407</v>
      </c>
      <c r="E11" s="6">
        <f t="shared" si="6"/>
        <v>204505.14666113854</v>
      </c>
      <c r="F11" s="6">
        <f t="shared" si="6"/>
        <v>218564.25686137108</v>
      </c>
      <c r="G11" s="6">
        <f t="shared" si="6"/>
        <v>230839.01419322361</v>
      </c>
      <c r="H11" s="7">
        <f t="shared" si="6"/>
        <v>240186.60978366813</v>
      </c>
      <c r="I11" s="5">
        <f t="shared" si="6"/>
        <v>-230.08606999999938</v>
      </c>
      <c r="J11" s="6">
        <f t="shared" si="6"/>
        <v>3303.2835219006815</v>
      </c>
      <c r="K11" s="6">
        <f t="shared" si="6"/>
        <v>2570.4900534546205</v>
      </c>
      <c r="L11" s="6">
        <f t="shared" si="6"/>
        <v>5155.5559030840695</v>
      </c>
      <c r="M11" s="6">
        <f t="shared" si="6"/>
        <v>6423.3819473139665</v>
      </c>
      <c r="N11" s="6">
        <f t="shared" si="6"/>
        <v>8268.3599321288402</v>
      </c>
      <c r="O11" s="7">
        <f t="shared" si="6"/>
        <v>10960.477553157769</v>
      </c>
      <c r="P11" s="5">
        <f>+P12+P18</f>
        <v>-2577.0922300000002</v>
      </c>
      <c r="Q11" s="6">
        <f t="shared" si="6"/>
        <v>-3172.5749254285711</v>
      </c>
      <c r="R11" s="6">
        <f t="shared" si="6"/>
        <v>-2993.8597500005999</v>
      </c>
      <c r="S11" s="6">
        <f t="shared" si="6"/>
        <v>-3112.9140072895639</v>
      </c>
      <c r="T11" s="6">
        <f t="shared" si="6"/>
        <v>-2746.22507067284</v>
      </c>
      <c r="U11" s="6">
        <f t="shared" si="6"/>
        <v>-2563.1762767917585</v>
      </c>
      <c r="V11" s="7">
        <f t="shared" si="6"/>
        <v>-2347.3005317762354</v>
      </c>
      <c r="W11" s="5">
        <f t="shared" si="6"/>
        <v>-2807.1782999999996</v>
      </c>
      <c r="X11" s="6">
        <f t="shared" si="6"/>
        <v>130.70859647210909</v>
      </c>
      <c r="Y11" s="6">
        <f t="shared" si="6"/>
        <v>-423.36969654597851</v>
      </c>
      <c r="Z11" s="6">
        <f t="shared" si="6"/>
        <v>2042.6418957945061</v>
      </c>
      <c r="AA11" s="6">
        <f t="shared" si="6"/>
        <v>3677.1568766411256</v>
      </c>
      <c r="AB11" s="6">
        <f t="shared" si="6"/>
        <v>5705.1836553370813</v>
      </c>
      <c r="AC11" s="7">
        <f t="shared" si="6"/>
        <v>8613.1770213815344</v>
      </c>
      <c r="AE11" s="49">
        <f t="shared" si="4"/>
        <v>3.8117933733777587E-2</v>
      </c>
      <c r="AF11" s="40">
        <v>8.2050498880970046E-2</v>
      </c>
    </row>
    <row r="12" spans="1:33" x14ac:dyDescent="0.3">
      <c r="A12" s="8" t="s">
        <v>20</v>
      </c>
      <c r="B12" s="11">
        <f>+B13+B14+B15+B16+B17</f>
        <v>128665.965845</v>
      </c>
      <c r="C12" s="45">
        <f t="shared" ref="C12:AC12" si="7">+C13+C14+C15+C16+C17</f>
        <v>128975.77491250899</v>
      </c>
      <c r="D12" s="19">
        <f>+D13+D14+D15+D16+D17</f>
        <v>129680.62370094408</v>
      </c>
      <c r="E12" s="19">
        <f t="shared" si="7"/>
        <v>132679.04866113854</v>
      </c>
      <c r="F12" s="19">
        <f t="shared" si="7"/>
        <v>141068.42586137107</v>
      </c>
      <c r="G12" s="19">
        <f t="shared" si="7"/>
        <v>144907.4531932236</v>
      </c>
      <c r="H12" s="20">
        <f t="shared" si="7"/>
        <v>148051.20578366812</v>
      </c>
      <c r="I12" s="11">
        <f t="shared" si="7"/>
        <v>3781.9139300000006</v>
      </c>
      <c r="J12" s="19">
        <f t="shared" si="7"/>
        <v>4562.8315219006845</v>
      </c>
      <c r="K12" s="19">
        <f t="shared" si="7"/>
        <v>5068.4900534546205</v>
      </c>
      <c r="L12" s="19">
        <f t="shared" si="7"/>
        <v>5364.1179030840713</v>
      </c>
      <c r="M12" s="19">
        <f t="shared" si="7"/>
        <v>6161.4089473139611</v>
      </c>
      <c r="N12" s="19">
        <f t="shared" si="7"/>
        <v>7504.8269321288417</v>
      </c>
      <c r="O12" s="20">
        <f t="shared" si="7"/>
        <v>8214.8005531577728</v>
      </c>
      <c r="P12" s="11">
        <f>+P13+P14+P15+P16+P17</f>
        <v>-1440.0922300000002</v>
      </c>
      <c r="Q12" s="19">
        <f t="shared" si="7"/>
        <v>-969.51692542857154</v>
      </c>
      <c r="R12" s="19">
        <f t="shared" si="7"/>
        <v>-1607.8597500005999</v>
      </c>
      <c r="S12" s="19">
        <f t="shared" si="7"/>
        <v>-1072.438007289564</v>
      </c>
      <c r="T12" s="19">
        <f t="shared" si="7"/>
        <v>-940.58007067284029</v>
      </c>
      <c r="U12" s="19">
        <f t="shared" si="7"/>
        <v>-950.34927679175848</v>
      </c>
      <c r="V12" s="20">
        <f t="shared" si="7"/>
        <v>-926.45853177623576</v>
      </c>
      <c r="W12" s="11">
        <f t="shared" si="7"/>
        <v>2341.8217000000004</v>
      </c>
      <c r="X12" s="19">
        <f t="shared" si="7"/>
        <v>3593.3145964721116</v>
      </c>
      <c r="Y12" s="19">
        <f t="shared" si="7"/>
        <v>3460.6303034540215</v>
      </c>
      <c r="Z12" s="19">
        <f t="shared" si="7"/>
        <v>4291.6798957945075</v>
      </c>
      <c r="AA12" s="19">
        <f t="shared" si="7"/>
        <v>5220.8288766411206</v>
      </c>
      <c r="AB12" s="19">
        <f t="shared" si="7"/>
        <v>6554.477655337083</v>
      </c>
      <c r="AC12" s="20">
        <f t="shared" si="7"/>
        <v>7288.342021381538</v>
      </c>
      <c r="AE12" s="49">
        <f t="shared" si="4"/>
        <v>2.4078556087023806E-3</v>
      </c>
      <c r="AF12" s="40">
        <v>5.781005424498975E-2</v>
      </c>
      <c r="AG12" s="50">
        <f>+(B12*(1+AF12))-C12</f>
        <v>7128.3773974744545</v>
      </c>
    </row>
    <row r="13" spans="1:33" x14ac:dyDescent="0.3">
      <c r="A13" s="13" t="s">
        <v>21</v>
      </c>
      <c r="B13" s="14">
        <v>137825.82793</v>
      </c>
      <c r="C13" s="37">
        <v>140654.39593740372</v>
      </c>
      <c r="D13" s="16">
        <v>139915.84110784929</v>
      </c>
      <c r="E13" s="16">
        <v>149126.99958984854</v>
      </c>
      <c r="F13" s="16">
        <v>161051.00013729106</v>
      </c>
      <c r="G13" s="16">
        <v>165286.00008112361</v>
      </c>
      <c r="H13" s="22">
        <v>169766.00019756626</v>
      </c>
      <c r="I13" s="14">
        <v>4612.9019600000001</v>
      </c>
      <c r="J13" s="16">
        <v>5517.546715547559</v>
      </c>
      <c r="K13" s="16">
        <v>5507.2730694245711</v>
      </c>
      <c r="L13" s="16">
        <v>6293.1805015025511</v>
      </c>
      <c r="M13" s="16">
        <v>7337.6565884552538</v>
      </c>
      <c r="N13" s="16">
        <v>8748.4364576107982</v>
      </c>
      <c r="O13" s="22">
        <v>9755.0655064723742</v>
      </c>
      <c r="P13" s="14">
        <v>-1744.4396100000001</v>
      </c>
      <c r="Q13" s="16">
        <v>-1157.7083900000002</v>
      </c>
      <c r="R13" s="16">
        <v>-1950.7995000008</v>
      </c>
      <c r="S13" s="16">
        <v>-1276.9805933334135</v>
      </c>
      <c r="T13" s="16">
        <v>-1133.3979371976304</v>
      </c>
      <c r="U13" s="16">
        <v>-1105.4893360177248</v>
      </c>
      <c r="V13" s="22">
        <v>-1071.9573317033141</v>
      </c>
      <c r="W13" s="14">
        <v>2868.4623500000002</v>
      </c>
      <c r="X13" s="16">
        <v>4359.8383255475583</v>
      </c>
      <c r="Y13" s="16">
        <v>3556.4735694237711</v>
      </c>
      <c r="Z13" s="16">
        <v>5016.1999081691374</v>
      </c>
      <c r="AA13" s="16">
        <v>6204.2586512576236</v>
      </c>
      <c r="AB13" s="16">
        <v>7642.9471215930735</v>
      </c>
      <c r="AC13" s="22">
        <v>8683.1081747690605</v>
      </c>
      <c r="AE13" s="49"/>
      <c r="AF13" s="40"/>
    </row>
    <row r="14" spans="1:33" x14ac:dyDescent="0.3">
      <c r="A14" s="15" t="s">
        <v>22</v>
      </c>
      <c r="B14" s="14">
        <v>-11203.228654999995</v>
      </c>
      <c r="C14" s="37">
        <v>-13468.021674894735</v>
      </c>
      <c r="D14" s="16">
        <v>-13481.632582099001</v>
      </c>
      <c r="E14" s="16">
        <v>-18293.207564709999</v>
      </c>
      <c r="F14" s="16">
        <v>-21832.57427592</v>
      </c>
      <c r="G14" s="16">
        <v>-22328.546887900022</v>
      </c>
      <c r="H14" s="22">
        <v>-23714.794413898133</v>
      </c>
      <c r="I14" s="14">
        <v>-944.19623000000001</v>
      </c>
      <c r="J14" s="16">
        <v>-1226.1191894699514</v>
      </c>
      <c r="K14" s="31">
        <v>-661.72188490625001</v>
      </c>
      <c r="L14" s="16">
        <v>-1248.10155247137</v>
      </c>
      <c r="M14" s="16">
        <v>-1524.0905100535331</v>
      </c>
      <c r="N14" s="16">
        <v>-1686.7078196337097</v>
      </c>
      <c r="O14" s="22">
        <v>-2009.5157548499499</v>
      </c>
      <c r="P14" s="14">
        <v>177.38624999999999</v>
      </c>
      <c r="Q14" s="16">
        <v>145.12827257142857</v>
      </c>
      <c r="R14" s="33">
        <v>223.89975000020002</v>
      </c>
      <c r="S14" s="16">
        <v>160.68998754784954</v>
      </c>
      <c r="T14" s="16">
        <v>147.87222424834215</v>
      </c>
      <c r="U14" s="16">
        <v>109.21262359992458</v>
      </c>
      <c r="V14" s="22">
        <v>98.780707637898146</v>
      </c>
      <c r="W14" s="14">
        <v>-766.80998</v>
      </c>
      <c r="X14" s="16">
        <v>-1080.990916898523</v>
      </c>
      <c r="Y14" s="33">
        <v>-437.82213490605</v>
      </c>
      <c r="Z14" s="16">
        <v>-1087.4115649235205</v>
      </c>
      <c r="AA14" s="16">
        <v>-1376.2182858051908</v>
      </c>
      <c r="AB14" s="16">
        <v>-1577.4951960337851</v>
      </c>
      <c r="AC14" s="22">
        <v>-1910.7350472120518</v>
      </c>
      <c r="AE14" s="49"/>
      <c r="AF14" s="40"/>
    </row>
    <row r="15" spans="1:33" ht="15" x14ac:dyDescent="0.25">
      <c r="A15" s="17" t="s">
        <v>23</v>
      </c>
      <c r="B15" s="14">
        <v>14481.217360000001</v>
      </c>
      <c r="C15" s="37">
        <v>15049.9040454852</v>
      </c>
      <c r="D15" s="16">
        <v>12093.62</v>
      </c>
      <c r="E15" s="16">
        <v>13715.180013116498</v>
      </c>
      <c r="F15" s="16">
        <v>13893.482101287</v>
      </c>
      <c r="G15" s="16">
        <v>14074.097268603702</v>
      </c>
      <c r="H15" s="22">
        <v>14257.06159809555</v>
      </c>
      <c r="I15" s="14">
        <v>68.13734000000025</v>
      </c>
      <c r="J15" s="16">
        <v>128.23400582307619</v>
      </c>
      <c r="K15" s="16">
        <v>60.505775999900209</v>
      </c>
      <c r="L15" s="16">
        <v>146.33220205289047</v>
      </c>
      <c r="M15" s="16">
        <v>170.58316913623989</v>
      </c>
      <c r="N15" s="16">
        <v>217.37864662282831</v>
      </c>
      <c r="O15" s="22">
        <v>222.22088602892356</v>
      </c>
      <c r="P15" s="14">
        <v>150.43983999999998</v>
      </c>
      <c r="Q15" s="16">
        <v>51.108192000000017</v>
      </c>
      <c r="R15" s="16">
        <v>152.63999999999999</v>
      </c>
      <c r="S15" s="16">
        <v>51.772598496000001</v>
      </c>
      <c r="T15" s="16">
        <v>52.445642276447991</v>
      </c>
      <c r="U15" s="16">
        <v>53.127435626041816</v>
      </c>
      <c r="V15" s="22">
        <v>53.818092289180349</v>
      </c>
      <c r="W15" s="14">
        <v>218.57718000000023</v>
      </c>
      <c r="X15" s="16">
        <v>179.34219782307622</v>
      </c>
      <c r="Y15" s="16">
        <v>213.1457759999002</v>
      </c>
      <c r="Z15" s="16">
        <v>198.10480054889047</v>
      </c>
      <c r="AA15" s="16">
        <v>223.02881141268787</v>
      </c>
      <c r="AB15" s="16">
        <v>270.50608224887014</v>
      </c>
      <c r="AC15" s="22">
        <v>276.03897831810389</v>
      </c>
      <c r="AE15" s="49"/>
      <c r="AF15" s="40"/>
    </row>
    <row r="16" spans="1:33" ht="15" x14ac:dyDescent="0.25">
      <c r="A16" s="15" t="s">
        <v>24</v>
      </c>
      <c r="B16" s="14">
        <v>-14021</v>
      </c>
      <c r="C16" s="46">
        <v>-15049.9040454852</v>
      </c>
      <c r="D16" s="16">
        <v>-10593.6199948062</v>
      </c>
      <c r="E16" s="31">
        <v>-13715.180013116498</v>
      </c>
      <c r="F16" s="31">
        <v>-13893.482101287</v>
      </c>
      <c r="G16" s="31">
        <v>-14074.097268603702</v>
      </c>
      <c r="H16" s="32">
        <v>-14257.06159809555</v>
      </c>
      <c r="I16" s="14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22">
        <v>0</v>
      </c>
      <c r="P16" s="14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22">
        <v>0</v>
      </c>
      <c r="W16" s="14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22">
        <v>0</v>
      </c>
      <c r="AE16" s="49"/>
      <c r="AF16" s="40"/>
    </row>
    <row r="17" spans="1:33" x14ac:dyDescent="0.3">
      <c r="A17" s="17" t="s">
        <v>25</v>
      </c>
      <c r="B17" s="14">
        <v>1583.14921</v>
      </c>
      <c r="C17" s="37">
        <v>1789.4006500000003</v>
      </c>
      <c r="D17" s="16">
        <v>1746.41517</v>
      </c>
      <c r="E17" s="16">
        <v>1845.2566360000001</v>
      </c>
      <c r="F17" s="16">
        <v>1850</v>
      </c>
      <c r="G17" s="16">
        <v>1950</v>
      </c>
      <c r="H17" s="22">
        <v>2000</v>
      </c>
      <c r="I17" s="14">
        <v>45.070860000000138</v>
      </c>
      <c r="J17" s="16">
        <v>143.16999000000044</v>
      </c>
      <c r="K17" s="16">
        <v>162.43309293639993</v>
      </c>
      <c r="L17" s="16">
        <v>172.70675200000014</v>
      </c>
      <c r="M17" s="16">
        <v>177.25969977599982</v>
      </c>
      <c r="N17" s="16">
        <v>225.71964752892441</v>
      </c>
      <c r="O17" s="22">
        <v>247.02991550642545</v>
      </c>
      <c r="P17" s="14">
        <v>-23.478710000000003</v>
      </c>
      <c r="Q17" s="16">
        <v>-8.0449999999999999</v>
      </c>
      <c r="R17" s="16">
        <v>-33.6</v>
      </c>
      <c r="S17" s="16">
        <v>-7.92</v>
      </c>
      <c r="T17" s="16">
        <v>-7.5</v>
      </c>
      <c r="U17" s="16">
        <v>-7.2</v>
      </c>
      <c r="V17" s="22">
        <v>-7.1</v>
      </c>
      <c r="W17" s="14">
        <v>21.592150000000135</v>
      </c>
      <c r="X17" s="16">
        <v>135.12499000000045</v>
      </c>
      <c r="Y17" s="16">
        <v>128.83309293639994</v>
      </c>
      <c r="Z17" s="16">
        <v>164.78675200000015</v>
      </c>
      <c r="AA17" s="16">
        <v>169.75969977599982</v>
      </c>
      <c r="AB17" s="16">
        <v>218.51964752892442</v>
      </c>
      <c r="AC17" s="22">
        <v>239.92991550642546</v>
      </c>
      <c r="AE17" s="49"/>
      <c r="AF17" s="40"/>
    </row>
    <row r="18" spans="1:33" ht="15.75" thickBot="1" x14ac:dyDescent="0.3">
      <c r="A18" s="18" t="s">
        <v>26</v>
      </c>
      <c r="B18" s="12">
        <v>58527</v>
      </c>
      <c r="C18" s="38">
        <v>65352.6</v>
      </c>
      <c r="D18" s="29">
        <v>64242</v>
      </c>
      <c r="E18" s="29">
        <v>71826.097999999998</v>
      </c>
      <c r="F18" s="29">
        <v>77495.831000000006</v>
      </c>
      <c r="G18" s="29">
        <v>85931.561000000002</v>
      </c>
      <c r="H18" s="30">
        <v>92135.40400000001</v>
      </c>
      <c r="I18" s="12">
        <v>-4012</v>
      </c>
      <c r="J18" s="29">
        <v>-1259.548000000003</v>
      </c>
      <c r="K18" s="29">
        <v>-2498</v>
      </c>
      <c r="L18" s="29">
        <v>-208.56200000000172</v>
      </c>
      <c r="M18" s="29">
        <v>261.97300000000519</v>
      </c>
      <c r="N18" s="29">
        <v>763.53299999999831</v>
      </c>
      <c r="O18" s="30">
        <v>2745.676999999997</v>
      </c>
      <c r="P18" s="12">
        <v>-1137</v>
      </c>
      <c r="Q18" s="29">
        <v>-2203.0579999999995</v>
      </c>
      <c r="R18" s="29">
        <v>-1386</v>
      </c>
      <c r="S18" s="29">
        <v>-2040.4759999999999</v>
      </c>
      <c r="T18" s="29">
        <v>-1805.645</v>
      </c>
      <c r="U18" s="29">
        <v>-1612.827</v>
      </c>
      <c r="V18" s="30">
        <v>-1420.8419999999999</v>
      </c>
      <c r="W18" s="12">
        <v>-5149</v>
      </c>
      <c r="X18" s="29">
        <v>-3462.6060000000025</v>
      </c>
      <c r="Y18" s="29">
        <v>-3884</v>
      </c>
      <c r="Z18" s="29">
        <v>-2249.0380000000014</v>
      </c>
      <c r="AA18" s="29">
        <v>-1543.6719999999948</v>
      </c>
      <c r="AB18" s="29">
        <v>-849.29400000000169</v>
      </c>
      <c r="AC18" s="30">
        <v>1324.8349999999971</v>
      </c>
      <c r="AE18" s="49">
        <f t="shared" si="4"/>
        <v>0.11662309703213891</v>
      </c>
      <c r="AF18" s="40">
        <v>0.13373756607156628</v>
      </c>
      <c r="AG18" s="23">
        <f t="shared" si="5"/>
        <v>1001.6585294705656</v>
      </c>
    </row>
    <row r="19" spans="1:33" ht="16.2" thickBot="1" x14ac:dyDescent="0.35">
      <c r="A19" s="4" t="s">
        <v>27</v>
      </c>
      <c r="B19" s="5">
        <f>SUM(B20:B22)</f>
        <v>38083.126360000002</v>
      </c>
      <c r="C19" s="6">
        <f t="shared" ref="C19:H19" si="8">SUM(C20:C22)</f>
        <v>38247.583808002775</v>
      </c>
      <c r="D19" s="6">
        <f>SUM(D20:D22)</f>
        <v>42116.530789853503</v>
      </c>
      <c r="E19" s="6">
        <f t="shared" si="8"/>
        <v>40542.257796834703</v>
      </c>
      <c r="F19" s="6">
        <f t="shared" si="8"/>
        <v>43357.503658987815</v>
      </c>
      <c r="G19" s="6">
        <f t="shared" si="8"/>
        <v>45485.257407967547</v>
      </c>
      <c r="H19" s="7">
        <f t="shared" si="8"/>
        <v>47996.926846337672</v>
      </c>
      <c r="I19" s="5">
        <f>SUM(I20:I22)</f>
        <v>-268.57559000000094</v>
      </c>
      <c r="J19" s="6">
        <f t="shared" ref="J19:O19" si="9">SUM(J20:J22)</f>
        <v>-360.02785430631218</v>
      </c>
      <c r="K19" s="6">
        <f t="shared" si="9"/>
        <v>-285.47034395270055</v>
      </c>
      <c r="L19" s="6">
        <f t="shared" si="9"/>
        <v>96.782909979682131</v>
      </c>
      <c r="M19" s="6">
        <f t="shared" si="9"/>
        <v>506.71836353847772</v>
      </c>
      <c r="N19" s="6">
        <f t="shared" si="9"/>
        <v>883.08906752638393</v>
      </c>
      <c r="O19" s="7">
        <f t="shared" si="9"/>
        <v>1128.2995134718687</v>
      </c>
      <c r="P19" s="5">
        <f>SUM(P20:P22)</f>
        <v>-1106.45037</v>
      </c>
      <c r="Q19" s="6">
        <f t="shared" ref="Q19:V19" si="10">SUM(Q20:Q22)</f>
        <v>-789.04453309026485</v>
      </c>
      <c r="R19" s="6">
        <f t="shared" si="10"/>
        <v>-1202.6003946274002</v>
      </c>
      <c r="S19" s="6">
        <f t="shared" si="10"/>
        <v>-735.39523990361931</v>
      </c>
      <c r="T19" s="6">
        <f t="shared" si="10"/>
        <v>-746.59710445888436</v>
      </c>
      <c r="U19" s="6">
        <f t="shared" si="10"/>
        <v>-719.84885628463257</v>
      </c>
      <c r="V19" s="7">
        <f t="shared" si="10"/>
        <v>-691.24733582868998</v>
      </c>
      <c r="W19" s="5">
        <f>SUM(W20:W22)</f>
        <v>-1375.0259600000009</v>
      </c>
      <c r="X19" s="6">
        <f t="shared" ref="X19:AC19" si="11">SUM(X20:X22)</f>
        <v>-1149.0723873965769</v>
      </c>
      <c r="Y19" s="6">
        <f t="shared" si="11"/>
        <v>-1488.0707385801006</v>
      </c>
      <c r="Z19" s="6">
        <f t="shared" si="11"/>
        <v>-638.61232992393718</v>
      </c>
      <c r="AA19" s="6">
        <f t="shared" si="11"/>
        <v>-239.87874092040664</v>
      </c>
      <c r="AB19" s="6">
        <f t="shared" si="11"/>
        <v>163.24021124175141</v>
      </c>
      <c r="AC19" s="7">
        <f t="shared" si="11"/>
        <v>437.05217764317877</v>
      </c>
      <c r="AE19" s="49">
        <f t="shared" si="4"/>
        <v>4.3183809661044847E-3</v>
      </c>
      <c r="AF19" s="40">
        <v>3.3089240330451686E-2</v>
      </c>
    </row>
    <row r="20" spans="1:33" ht="15" x14ac:dyDescent="0.25">
      <c r="A20" s="8" t="s">
        <v>28</v>
      </c>
      <c r="B20" s="11">
        <v>25240.618380000004</v>
      </c>
      <c r="C20" s="19">
        <v>25877.175946937808</v>
      </c>
      <c r="D20" s="19">
        <v>27516.202007329102</v>
      </c>
      <c r="E20" s="19">
        <v>27941.066860258699</v>
      </c>
      <c r="F20" s="19">
        <v>29483.296149339469</v>
      </c>
      <c r="G20" s="19">
        <v>30506.949221721599</v>
      </c>
      <c r="H20" s="20">
        <v>32081.992316910724</v>
      </c>
      <c r="I20" s="11">
        <v>859.67947000000072</v>
      </c>
      <c r="J20" s="19">
        <v>649.91354050049665</v>
      </c>
      <c r="K20" s="19">
        <v>471.32466815299824</v>
      </c>
      <c r="L20" s="19">
        <v>646.57639305459895</v>
      </c>
      <c r="M20" s="19">
        <v>734.3423504208406</v>
      </c>
      <c r="N20" s="19">
        <v>794.82359162177295</v>
      </c>
      <c r="O20" s="20">
        <v>830.96229794842361</v>
      </c>
      <c r="P20" s="11">
        <v>-844.01856999999995</v>
      </c>
      <c r="Q20" s="19">
        <v>-600.35373619724123</v>
      </c>
      <c r="R20" s="19">
        <v>-824.87933462740011</v>
      </c>
      <c r="S20" s="19">
        <v>-515.01833300718442</v>
      </c>
      <c r="T20" s="19">
        <v>-518.06440154543168</v>
      </c>
      <c r="U20" s="19">
        <v>-496.7367593659045</v>
      </c>
      <c r="V20" s="20">
        <v>-479.28093457481015</v>
      </c>
      <c r="W20" s="11">
        <v>15.660900000000765</v>
      </c>
      <c r="X20" s="19">
        <v>49.559804303255419</v>
      </c>
      <c r="Y20" s="19">
        <v>-353.55466647440187</v>
      </c>
      <c r="Z20" s="19">
        <v>131.55806004741453</v>
      </c>
      <c r="AA20" s="19">
        <v>216.27794887540892</v>
      </c>
      <c r="AB20" s="19">
        <v>298.08683225586844</v>
      </c>
      <c r="AC20" s="20">
        <v>351.68136337361346</v>
      </c>
      <c r="AE20" s="49">
        <f t="shared" si="4"/>
        <v>2.5219570984924777E-2</v>
      </c>
      <c r="AF20" s="40">
        <v>3.1797366545140093E-2</v>
      </c>
      <c r="AG20" s="23">
        <f t="shared" si="5"/>
        <v>166.0276275170545</v>
      </c>
    </row>
    <row r="21" spans="1:33" ht="15" x14ac:dyDescent="0.25">
      <c r="A21" s="10" t="s">
        <v>29</v>
      </c>
      <c r="B21" s="11">
        <v>1029</v>
      </c>
      <c r="C21" s="45">
        <v>1230.905</v>
      </c>
      <c r="D21" s="19">
        <v>1303</v>
      </c>
      <c r="E21" s="19">
        <v>1381.547</v>
      </c>
      <c r="F21" s="19">
        <v>1492.07</v>
      </c>
      <c r="G21" s="19">
        <v>1596.5150000000001</v>
      </c>
      <c r="H21" s="20">
        <v>1692.306</v>
      </c>
      <c r="I21" s="11">
        <v>71.11099999999999</v>
      </c>
      <c r="J21" s="19">
        <v>90.222999999999942</v>
      </c>
      <c r="K21" s="19">
        <v>60</v>
      </c>
      <c r="L21" s="19">
        <v>80.319000000000131</v>
      </c>
      <c r="M21" s="19">
        <v>122.41900000000004</v>
      </c>
      <c r="N21" s="19">
        <v>160.31500000000014</v>
      </c>
      <c r="O21" s="20">
        <v>168.55900000000017</v>
      </c>
      <c r="P21" s="11">
        <v>1</v>
      </c>
      <c r="Q21" s="19">
        <v>5.7649999999999997</v>
      </c>
      <c r="R21" s="19">
        <v>1</v>
      </c>
      <c r="S21" s="19">
        <v>5.47</v>
      </c>
      <c r="T21" s="19">
        <v>5.5</v>
      </c>
      <c r="U21" s="19">
        <v>5.5</v>
      </c>
      <c r="V21" s="20">
        <v>5.5</v>
      </c>
      <c r="W21" s="11">
        <v>72.11099999999999</v>
      </c>
      <c r="X21" s="19">
        <v>95.987999999999943</v>
      </c>
      <c r="Y21" s="19">
        <v>61</v>
      </c>
      <c r="Z21" s="19">
        <v>85.789000000000129</v>
      </c>
      <c r="AA21" s="19">
        <v>127.91900000000004</v>
      </c>
      <c r="AB21" s="19">
        <v>165.81500000000014</v>
      </c>
      <c r="AC21" s="20">
        <v>174.05900000000017</v>
      </c>
      <c r="AE21" s="49">
        <f t="shared" si="4"/>
        <v>0.19621477162293477</v>
      </c>
      <c r="AF21" s="40">
        <v>0.18391119782116094</v>
      </c>
      <c r="AG21" s="23">
        <f t="shared" si="5"/>
        <v>-12.660377442025265</v>
      </c>
    </row>
    <row r="22" spans="1:33" ht="15.75" thickBot="1" x14ac:dyDescent="0.3">
      <c r="A22" s="10" t="s">
        <v>30</v>
      </c>
      <c r="B22" s="12">
        <v>11813.50798</v>
      </c>
      <c r="C22" s="29">
        <v>11139.502861064964</v>
      </c>
      <c r="D22" s="29">
        <v>13297.328782524401</v>
      </c>
      <c r="E22" s="29">
        <v>11219.643936576009</v>
      </c>
      <c r="F22" s="29">
        <v>12382.137509648343</v>
      </c>
      <c r="G22" s="29">
        <v>13381.79318624595</v>
      </c>
      <c r="H22" s="30">
        <v>14222.628529426947</v>
      </c>
      <c r="I22" s="12">
        <v>-1199.3660600000017</v>
      </c>
      <c r="J22" s="29">
        <v>-1100.1643948068088</v>
      </c>
      <c r="K22" s="29">
        <v>-816.79501210569879</v>
      </c>
      <c r="L22" s="29">
        <v>-630.1124830749169</v>
      </c>
      <c r="M22" s="29">
        <v>-350.04298688236298</v>
      </c>
      <c r="N22" s="29">
        <v>-72.049524095389145</v>
      </c>
      <c r="O22" s="30">
        <v>128.778215523445</v>
      </c>
      <c r="P22" s="12">
        <v>-263.43180000000001</v>
      </c>
      <c r="Q22" s="29">
        <v>-194.45579689302355</v>
      </c>
      <c r="R22" s="29">
        <v>-378.72106000000002</v>
      </c>
      <c r="S22" s="29">
        <v>-225.84690689643489</v>
      </c>
      <c r="T22" s="29">
        <v>-234.03270291345268</v>
      </c>
      <c r="U22" s="29">
        <v>-228.61209691872807</v>
      </c>
      <c r="V22" s="30">
        <v>-217.46640125387984</v>
      </c>
      <c r="W22" s="12">
        <v>-1462.7978600000015</v>
      </c>
      <c r="X22" s="29">
        <v>-1294.6201916998323</v>
      </c>
      <c r="Y22" s="29">
        <v>-1195.5160721056989</v>
      </c>
      <c r="Z22" s="29">
        <v>-855.95938997135181</v>
      </c>
      <c r="AA22" s="29">
        <v>-584.07568979581561</v>
      </c>
      <c r="AB22" s="29">
        <v>-300.6616210141172</v>
      </c>
      <c r="AC22" s="30">
        <v>-88.688185730434839</v>
      </c>
      <c r="AE22" s="49">
        <f t="shared" si="4"/>
        <v>-5.7053765915772936E-2</v>
      </c>
      <c r="AF22" s="40">
        <v>2.1986432430634251E-2</v>
      </c>
      <c r="AG22" s="23">
        <f t="shared" si="5"/>
        <v>933.74201390606504</v>
      </c>
    </row>
    <row r="23" spans="1:33" ht="16.2" thickBot="1" x14ac:dyDescent="0.35">
      <c r="A23" s="4" t="s">
        <v>31</v>
      </c>
      <c r="B23" s="5">
        <f>SUM(B24:B27)</f>
        <v>75059.116099999999</v>
      </c>
      <c r="C23" s="6">
        <f>SUM(C24:C27)</f>
        <v>48442.882248244809</v>
      </c>
      <c r="D23" s="6">
        <f t="shared" ref="D23:H23" si="12">SUM(D24:D27)</f>
        <v>75836.139066546602</v>
      </c>
      <c r="E23" s="6">
        <f t="shared" si="12"/>
        <v>48472.018982566675</v>
      </c>
      <c r="F23" s="6">
        <f t="shared" si="12"/>
        <v>49355.62956282204</v>
      </c>
      <c r="G23" s="6">
        <f t="shared" si="12"/>
        <v>51596.408217442346</v>
      </c>
      <c r="H23" s="7">
        <f t="shared" si="12"/>
        <v>53442.522974221887</v>
      </c>
      <c r="I23" s="5">
        <f>SUM(I24:I27)</f>
        <v>1208.7698200000004</v>
      </c>
      <c r="J23" s="6">
        <f t="shared" ref="J23:O23" si="13">SUM(J24:J27)</f>
        <v>1126.5441742682669</v>
      </c>
      <c r="K23" s="6">
        <f t="shared" si="13"/>
        <v>1604.7584062561928</v>
      </c>
      <c r="L23" s="6">
        <f t="shared" si="13"/>
        <v>1228.038174720185</v>
      </c>
      <c r="M23" s="6">
        <f t="shared" si="13"/>
        <v>1518.3030701812559</v>
      </c>
      <c r="N23" s="6">
        <f t="shared" si="13"/>
        <v>1860.4772506950098</v>
      </c>
      <c r="O23" s="7">
        <f t="shared" si="13"/>
        <v>2084.5729996906152</v>
      </c>
      <c r="P23" s="5">
        <f>SUM(P24:P27)</f>
        <v>97.651899999999955</v>
      </c>
      <c r="Q23" s="6">
        <f t="shared" ref="Q23:V23" si="14">SUM(Q24:Q27)</f>
        <v>34.018999999999977</v>
      </c>
      <c r="R23" s="6">
        <f t="shared" si="14"/>
        <v>166.2594600004</v>
      </c>
      <c r="S23" s="6">
        <f t="shared" si="14"/>
        <v>-3.4770000000000039</v>
      </c>
      <c r="T23" s="6">
        <f t="shared" si="14"/>
        <v>15.747000000000014</v>
      </c>
      <c r="U23" s="6">
        <f t="shared" si="14"/>
        <v>33.740000000000009</v>
      </c>
      <c r="V23" s="7">
        <f t="shared" si="14"/>
        <v>63.824999999999989</v>
      </c>
      <c r="W23" s="5">
        <f>SUM(W24:W27)</f>
        <v>1306.4217200000003</v>
      </c>
      <c r="X23" s="6">
        <f t="shared" ref="X23:AC23" si="15">SUM(X24:X27)</f>
        <v>1160.5631742682667</v>
      </c>
      <c r="Y23" s="6">
        <f t="shared" si="15"/>
        <v>1771.0178662565929</v>
      </c>
      <c r="Z23" s="6">
        <f t="shared" si="15"/>
        <v>1224.5611747201851</v>
      </c>
      <c r="AA23" s="6">
        <f t="shared" si="15"/>
        <v>1534.0500701812557</v>
      </c>
      <c r="AB23" s="6">
        <f t="shared" si="15"/>
        <v>1894.2172506950101</v>
      </c>
      <c r="AC23" s="7">
        <f t="shared" si="15"/>
        <v>2148.3979996906151</v>
      </c>
      <c r="AE23" s="49">
        <f t="shared" si="4"/>
        <v>-0.35460361425379472</v>
      </c>
      <c r="AF23" s="40">
        <v>-0.33261535959264876</v>
      </c>
    </row>
    <row r="24" spans="1:33" ht="15" x14ac:dyDescent="0.25">
      <c r="A24" s="8" t="s">
        <v>32</v>
      </c>
      <c r="B24" s="11">
        <v>38623.116099999999</v>
      </c>
      <c r="C24" s="19">
        <v>39416.387248244806</v>
      </c>
      <c r="D24" s="19">
        <v>40862.139066546595</v>
      </c>
      <c r="E24" s="19">
        <v>39460.77898256667</v>
      </c>
      <c r="F24" s="19">
        <v>40212.459562822041</v>
      </c>
      <c r="G24" s="19">
        <v>41812.493217442345</v>
      </c>
      <c r="H24" s="20">
        <v>43492.75597422188</v>
      </c>
      <c r="I24" s="11">
        <v>769.76982000000044</v>
      </c>
      <c r="J24" s="19">
        <v>736.25617426826864</v>
      </c>
      <c r="K24" s="19">
        <v>788.75840625619287</v>
      </c>
      <c r="L24" s="19">
        <v>783.51217472018425</v>
      </c>
      <c r="M24" s="19">
        <v>994.6320701812549</v>
      </c>
      <c r="N24" s="19">
        <v>1128.0612506950092</v>
      </c>
      <c r="O24" s="20">
        <v>1256.7079996906136</v>
      </c>
      <c r="P24" s="11">
        <v>359.65189999999996</v>
      </c>
      <c r="Q24" s="19">
        <v>95.768000000000001</v>
      </c>
      <c r="R24" s="19">
        <v>417.2594600004</v>
      </c>
      <c r="S24" s="19">
        <v>96.48</v>
      </c>
      <c r="T24" s="19">
        <v>99.387</v>
      </c>
      <c r="U24" s="19">
        <v>102.38</v>
      </c>
      <c r="V24" s="20">
        <v>105.46499999999999</v>
      </c>
      <c r="W24" s="11">
        <v>1129.4217200000003</v>
      </c>
      <c r="X24" s="19">
        <v>832.02417426826867</v>
      </c>
      <c r="Y24" s="19">
        <v>1206.0178662565929</v>
      </c>
      <c r="Z24" s="19">
        <v>879.99217472018427</v>
      </c>
      <c r="AA24" s="19">
        <v>1094.0190701812548</v>
      </c>
      <c r="AB24" s="19">
        <v>1230.4412506950093</v>
      </c>
      <c r="AC24" s="20">
        <v>1362.1729996906136</v>
      </c>
      <c r="AE24" s="49">
        <f t="shared" si="4"/>
        <v>2.0538766115891116E-2</v>
      </c>
      <c r="AF24" s="40">
        <v>7.6325626592653517E-2</v>
      </c>
      <c r="AG24" s="50">
        <f t="shared" si="5"/>
        <v>2154.6623890484989</v>
      </c>
    </row>
    <row r="25" spans="1:33" ht="15" x14ac:dyDescent="0.25">
      <c r="A25" s="10" t="s">
        <v>33</v>
      </c>
      <c r="B25" s="11">
        <v>26979</v>
      </c>
      <c r="C25" s="45">
        <v>0</v>
      </c>
      <c r="D25" s="19">
        <v>25520</v>
      </c>
      <c r="E25" s="19">
        <v>0</v>
      </c>
      <c r="F25" s="19">
        <v>0</v>
      </c>
      <c r="G25" s="19">
        <v>0</v>
      </c>
      <c r="H25" s="20">
        <v>0</v>
      </c>
      <c r="I25" s="11">
        <v>199</v>
      </c>
      <c r="J25" s="19">
        <v>0</v>
      </c>
      <c r="K25" s="19">
        <v>1</v>
      </c>
      <c r="L25" s="19">
        <v>0</v>
      </c>
      <c r="M25" s="19">
        <v>0</v>
      </c>
      <c r="N25" s="19">
        <v>0</v>
      </c>
      <c r="O25" s="20">
        <v>0</v>
      </c>
      <c r="P25" s="11">
        <v>3</v>
      </c>
      <c r="Q25" s="19">
        <v>0</v>
      </c>
      <c r="R25" s="19">
        <v>6</v>
      </c>
      <c r="S25" s="19">
        <v>0</v>
      </c>
      <c r="T25" s="19">
        <v>0</v>
      </c>
      <c r="U25" s="19">
        <v>0</v>
      </c>
      <c r="V25" s="20">
        <v>0</v>
      </c>
      <c r="W25" s="11">
        <v>202</v>
      </c>
      <c r="X25" s="19">
        <v>0</v>
      </c>
      <c r="Y25" s="19">
        <v>7</v>
      </c>
      <c r="Z25" s="19">
        <v>0</v>
      </c>
      <c r="AA25" s="19">
        <v>0</v>
      </c>
      <c r="AB25" s="19">
        <v>0</v>
      </c>
      <c r="AC25" s="20">
        <v>0</v>
      </c>
      <c r="AE25" s="49">
        <f t="shared" si="4"/>
        <v>-1</v>
      </c>
      <c r="AF25" s="40">
        <v>-0.97023692440966969</v>
      </c>
      <c r="AG25" s="23">
        <f t="shared" si="5"/>
        <v>802.97801635152155</v>
      </c>
    </row>
    <row r="26" spans="1:33" x14ac:dyDescent="0.3">
      <c r="A26" s="10" t="s">
        <v>34</v>
      </c>
      <c r="B26" s="11">
        <v>1758</v>
      </c>
      <c r="C26" s="45">
        <v>1843.3029999999999</v>
      </c>
      <c r="D26" s="19">
        <v>2029</v>
      </c>
      <c r="E26" s="19">
        <v>1896.472</v>
      </c>
      <c r="F26" s="19">
        <v>1975.4769999999999</v>
      </c>
      <c r="G26" s="19">
        <v>2059.125</v>
      </c>
      <c r="H26" s="20">
        <v>2145.9459999999999</v>
      </c>
      <c r="I26" s="11">
        <v>173</v>
      </c>
      <c r="J26" s="19">
        <v>181.5139999999999</v>
      </c>
      <c r="K26" s="19">
        <v>203</v>
      </c>
      <c r="L26" s="19">
        <v>165.05599999999993</v>
      </c>
      <c r="M26" s="19">
        <v>233.40699999999984</v>
      </c>
      <c r="N26" s="19">
        <v>284.6880000000001</v>
      </c>
      <c r="O26" s="20">
        <v>345.9670000000001</v>
      </c>
      <c r="P26" s="11">
        <v>13</v>
      </c>
      <c r="Q26" s="19">
        <v>75.787999999999997</v>
      </c>
      <c r="R26" s="19">
        <v>16</v>
      </c>
      <c r="S26" s="19">
        <v>75.36</v>
      </c>
      <c r="T26" s="19">
        <v>75.36</v>
      </c>
      <c r="U26" s="19">
        <v>75.36</v>
      </c>
      <c r="V26" s="20">
        <v>75.36</v>
      </c>
      <c r="W26" s="11">
        <v>186</v>
      </c>
      <c r="X26" s="19">
        <v>257.30199999999991</v>
      </c>
      <c r="Y26" s="19">
        <v>219</v>
      </c>
      <c r="Z26" s="19">
        <v>240.41599999999994</v>
      </c>
      <c r="AA26" s="19">
        <v>308.76699999999983</v>
      </c>
      <c r="AB26" s="19">
        <v>360.04800000000012</v>
      </c>
      <c r="AC26" s="20">
        <v>421.32700000000011</v>
      </c>
      <c r="AE26" s="49">
        <f t="shared" si="4"/>
        <v>4.852275312855503E-2</v>
      </c>
      <c r="AF26" s="40">
        <v>5.1478618982820468E-2</v>
      </c>
      <c r="AG26" s="23">
        <f t="shared" si="5"/>
        <v>5.1964121717985563</v>
      </c>
    </row>
    <row r="27" spans="1:33" ht="15.75" thickBot="1" x14ac:dyDescent="0.3">
      <c r="A27" s="18" t="s">
        <v>35</v>
      </c>
      <c r="B27" s="12">
        <v>7699</v>
      </c>
      <c r="C27" s="38">
        <v>7183.192</v>
      </c>
      <c r="D27" s="29">
        <v>7425</v>
      </c>
      <c r="E27" s="29">
        <v>7114.768</v>
      </c>
      <c r="F27" s="29">
        <v>7167.6930000000002</v>
      </c>
      <c r="G27" s="29">
        <v>7724.79</v>
      </c>
      <c r="H27" s="30">
        <v>7803.8210000000008</v>
      </c>
      <c r="I27" s="12">
        <v>67</v>
      </c>
      <c r="J27" s="29">
        <v>208.77399999999838</v>
      </c>
      <c r="K27" s="29">
        <v>612</v>
      </c>
      <c r="L27" s="29">
        <v>279.47000000000094</v>
      </c>
      <c r="M27" s="29">
        <v>290.26400000000115</v>
      </c>
      <c r="N27" s="29">
        <v>447.72800000000046</v>
      </c>
      <c r="O27" s="30">
        <v>481.89800000000139</v>
      </c>
      <c r="P27" s="12">
        <v>-278</v>
      </c>
      <c r="Q27" s="29">
        <v>-137.53700000000001</v>
      </c>
      <c r="R27" s="29">
        <v>-273</v>
      </c>
      <c r="S27" s="29">
        <v>-175.31700000000001</v>
      </c>
      <c r="T27" s="29">
        <v>-159</v>
      </c>
      <c r="U27" s="29">
        <v>-144</v>
      </c>
      <c r="V27" s="30">
        <v>-117</v>
      </c>
      <c r="W27" s="12">
        <v>-211</v>
      </c>
      <c r="X27" s="29">
        <v>71.236999999998375</v>
      </c>
      <c r="Y27" s="29">
        <v>339</v>
      </c>
      <c r="Z27" s="29">
        <v>104.15300000000093</v>
      </c>
      <c r="AA27" s="29">
        <v>131.26400000000115</v>
      </c>
      <c r="AB27" s="29">
        <v>303.72800000000046</v>
      </c>
      <c r="AC27" s="30">
        <v>364.89800000000139</v>
      </c>
      <c r="AE27" s="49">
        <f t="shared" si="4"/>
        <v>-6.6996752825042249E-2</v>
      </c>
      <c r="AF27" s="40">
        <v>-3.2118977211157085E-2</v>
      </c>
      <c r="AG27" s="23">
        <f t="shared" si="5"/>
        <v>268.52399445130141</v>
      </c>
    </row>
    <row r="28" spans="1:33" ht="16.2" thickBot="1" x14ac:dyDescent="0.35">
      <c r="A28" s="4" t="s">
        <v>36</v>
      </c>
      <c r="B28" s="5">
        <f>SUM(B29:B31)</f>
        <v>8893.6251300000004</v>
      </c>
      <c r="C28" s="6">
        <f t="shared" ref="C28:H28" si="16">SUM(C29:C31)</f>
        <v>9871.3884805615271</v>
      </c>
      <c r="D28" s="6">
        <f t="shared" si="16"/>
        <v>9575.4396451887005</v>
      </c>
      <c r="E28" s="6">
        <f t="shared" si="16"/>
        <v>14549.338322568477</v>
      </c>
      <c r="F28" s="6">
        <f t="shared" si="16"/>
        <v>19329.472000000002</v>
      </c>
      <c r="G28" s="6">
        <f t="shared" si="16"/>
        <v>23436.944</v>
      </c>
      <c r="H28" s="7">
        <f t="shared" si="16"/>
        <v>27240.841</v>
      </c>
      <c r="I28" s="5">
        <f>SUM(I29:I31)</f>
        <v>-1230.32429</v>
      </c>
      <c r="J28" s="6">
        <f t="shared" ref="J28:O28" si="17">SUM(J29:J31)</f>
        <v>70.905308027237254</v>
      </c>
      <c r="K28" s="6">
        <f t="shared" si="17"/>
        <v>-1193.9885365213008</v>
      </c>
      <c r="L28" s="6">
        <f t="shared" si="17"/>
        <v>26.002217640058035</v>
      </c>
      <c r="M28" s="6">
        <f t="shared" si="17"/>
        <v>416.23794948437137</v>
      </c>
      <c r="N28" s="6">
        <f t="shared" si="17"/>
        <v>848.9468771181223</v>
      </c>
      <c r="O28" s="7">
        <f t="shared" si="17"/>
        <v>1290.9811136152141</v>
      </c>
      <c r="P28" s="5">
        <f>SUM(P29:P31)</f>
        <v>-237.72312999999997</v>
      </c>
      <c r="Q28" s="6">
        <f t="shared" ref="Q28:V28" si="18">SUM(Q29:Q31)</f>
        <v>-55.747</v>
      </c>
      <c r="R28" s="6">
        <f t="shared" si="18"/>
        <v>-390.15671000039998</v>
      </c>
      <c r="S28" s="6">
        <f t="shared" si="18"/>
        <v>-84.498377409623245</v>
      </c>
      <c r="T28" s="6">
        <f t="shared" si="18"/>
        <v>-78.554752462501497</v>
      </c>
      <c r="U28" s="6">
        <f t="shared" si="18"/>
        <v>-95.366</v>
      </c>
      <c r="V28" s="7">
        <f t="shared" si="18"/>
        <v>-92.465000000000003</v>
      </c>
      <c r="W28" s="5">
        <f>SUM(W29:W31)</f>
        <v>-1468.0474199999999</v>
      </c>
      <c r="X28" s="6">
        <f t="shared" ref="X28:AC28" si="19">SUM(X29:X31)</f>
        <v>15.158308027237261</v>
      </c>
      <c r="Y28" s="6">
        <f t="shared" si="19"/>
        <v>-1584.145246521701</v>
      </c>
      <c r="Z28" s="6">
        <f t="shared" si="19"/>
        <v>-58.496159769565196</v>
      </c>
      <c r="AA28" s="6">
        <f t="shared" si="19"/>
        <v>337.68319702186983</v>
      </c>
      <c r="AB28" s="6">
        <f t="shared" si="19"/>
        <v>753.58087711812232</v>
      </c>
      <c r="AC28" s="7">
        <f t="shared" si="19"/>
        <v>1198.5161136152142</v>
      </c>
      <c r="AE28" s="49">
        <f t="shared" si="4"/>
        <v>0.10993979803166343</v>
      </c>
      <c r="AF28" s="40">
        <v>0.4847085028488225</v>
      </c>
    </row>
    <row r="29" spans="1:33" ht="15" x14ac:dyDescent="0.25">
      <c r="A29" s="8" t="s">
        <v>37</v>
      </c>
      <c r="B29" s="11">
        <v>0</v>
      </c>
      <c r="C29" s="45">
        <v>4030.2439999999997</v>
      </c>
      <c r="D29" s="19">
        <v>0</v>
      </c>
      <c r="E29" s="19">
        <v>7785</v>
      </c>
      <c r="F29" s="19">
        <v>11833.472000000002</v>
      </c>
      <c r="G29" s="19">
        <v>15131.944</v>
      </c>
      <c r="H29" s="20">
        <v>18150.841</v>
      </c>
      <c r="I29" s="11">
        <v>0</v>
      </c>
      <c r="J29" s="19">
        <v>-31.159000000000308</v>
      </c>
      <c r="K29" s="19">
        <v>0</v>
      </c>
      <c r="L29" s="19">
        <v>-230.48400000000024</v>
      </c>
      <c r="M29" s="19">
        <v>-63.670999999997633</v>
      </c>
      <c r="N29" s="19">
        <v>164.23899999999989</v>
      </c>
      <c r="O29" s="20">
        <v>429.9320000000024</v>
      </c>
      <c r="P29" s="11">
        <v>0</v>
      </c>
      <c r="Q29" s="19">
        <v>-21.367999999999999</v>
      </c>
      <c r="R29" s="19">
        <v>0</v>
      </c>
      <c r="S29" s="19">
        <v>-57.555</v>
      </c>
      <c r="T29" s="19">
        <v>-78.099999999999994</v>
      </c>
      <c r="U29" s="19">
        <v>-102.51</v>
      </c>
      <c r="V29" s="20">
        <v>-108.803</v>
      </c>
      <c r="W29" s="11">
        <v>0</v>
      </c>
      <c r="X29" s="19">
        <v>-52.527000000000307</v>
      </c>
      <c r="Y29" s="19">
        <v>0</v>
      </c>
      <c r="Z29" s="19">
        <v>-288.03900000000021</v>
      </c>
      <c r="AA29" s="19">
        <v>-141.77099999999763</v>
      </c>
      <c r="AB29" s="19">
        <v>61.728999999999886</v>
      </c>
      <c r="AC29" s="20">
        <v>321.12900000000241</v>
      </c>
      <c r="AE29" s="49"/>
      <c r="AF29" s="40"/>
    </row>
    <row r="30" spans="1:33" ht="15" x14ac:dyDescent="0.25">
      <c r="A30" s="21" t="s">
        <v>38</v>
      </c>
      <c r="B30" s="11">
        <v>4942.4265300000006</v>
      </c>
      <c r="C30" s="19">
        <v>5841.1444805615265</v>
      </c>
      <c r="D30" s="19">
        <v>5102.7398678036998</v>
      </c>
      <c r="E30" s="19">
        <v>6764.3383225684784</v>
      </c>
      <c r="F30" s="19">
        <v>7496</v>
      </c>
      <c r="G30" s="19">
        <v>8305</v>
      </c>
      <c r="H30" s="20">
        <v>9090</v>
      </c>
      <c r="I30" s="11">
        <v>-107.93138999999945</v>
      </c>
      <c r="J30" s="19">
        <v>102.06430802723756</v>
      </c>
      <c r="K30" s="19">
        <v>-365.0502113685011</v>
      </c>
      <c r="L30" s="19">
        <v>256.48621764005827</v>
      </c>
      <c r="M30" s="19">
        <v>479.90894948436897</v>
      </c>
      <c r="N30" s="19">
        <v>684.70787711812238</v>
      </c>
      <c r="O30" s="20">
        <v>861.0491136152117</v>
      </c>
      <c r="P30" s="11">
        <v>-55.159239999999997</v>
      </c>
      <c r="Q30" s="19">
        <v>-34.378999999999998</v>
      </c>
      <c r="R30" s="19">
        <v>-102.73836</v>
      </c>
      <c r="S30" s="19">
        <v>-26.943377409623249</v>
      </c>
      <c r="T30" s="19">
        <v>-0.45475246250150958</v>
      </c>
      <c r="U30" s="19">
        <v>7.1440000000000001</v>
      </c>
      <c r="V30" s="20">
        <v>16.338000000000001</v>
      </c>
      <c r="W30" s="11">
        <v>-163.09062999999946</v>
      </c>
      <c r="X30" s="19">
        <v>67.685308027237568</v>
      </c>
      <c r="Y30" s="19">
        <v>-467.7885713685011</v>
      </c>
      <c r="Z30" s="19">
        <v>229.54284023043502</v>
      </c>
      <c r="AA30" s="19">
        <v>479.45419702186746</v>
      </c>
      <c r="AB30" s="19">
        <v>691.85187711812239</v>
      </c>
      <c r="AC30" s="20">
        <v>877.38711361521166</v>
      </c>
      <c r="AE30" s="49">
        <f t="shared" si="4"/>
        <v>0.18183739203939675</v>
      </c>
      <c r="AF30" s="40">
        <v>0.24081378024511535</v>
      </c>
      <c r="AG30" s="23">
        <f t="shared" si="5"/>
        <v>291.48646571152221</v>
      </c>
    </row>
    <row r="31" spans="1:33" ht="15.75" thickBot="1" x14ac:dyDescent="0.3">
      <c r="A31" s="18" t="s">
        <v>39</v>
      </c>
      <c r="B31" s="11">
        <v>3951.1985999999997</v>
      </c>
      <c r="C31" s="47">
        <v>0</v>
      </c>
      <c r="D31" s="19">
        <v>4472.6997773849998</v>
      </c>
      <c r="E31" s="19">
        <v>0</v>
      </c>
      <c r="F31" s="19">
        <v>0</v>
      </c>
      <c r="G31" s="19">
        <v>0</v>
      </c>
      <c r="H31" s="20">
        <v>0</v>
      </c>
      <c r="I31" s="11">
        <v>-1122.3929000000005</v>
      </c>
      <c r="J31" s="47">
        <v>0</v>
      </c>
      <c r="K31" s="19">
        <v>-828.93832515279985</v>
      </c>
      <c r="L31" s="19">
        <v>0</v>
      </c>
      <c r="M31" s="19">
        <v>0</v>
      </c>
      <c r="N31" s="19">
        <v>0</v>
      </c>
      <c r="O31" s="20">
        <v>0</v>
      </c>
      <c r="P31" s="11">
        <v>-182.56388999999999</v>
      </c>
      <c r="Q31" s="47">
        <v>0</v>
      </c>
      <c r="R31" s="19">
        <v>-287.41835000039998</v>
      </c>
      <c r="S31" s="19">
        <v>0</v>
      </c>
      <c r="T31" s="19">
        <v>0</v>
      </c>
      <c r="U31" s="19">
        <v>0</v>
      </c>
      <c r="V31" s="20">
        <v>0</v>
      </c>
      <c r="W31" s="11">
        <v>-1304.9567900000004</v>
      </c>
      <c r="X31" s="47">
        <v>0</v>
      </c>
      <c r="Y31" s="19">
        <v>-1116.3566751531998</v>
      </c>
      <c r="Z31" s="19">
        <v>0</v>
      </c>
      <c r="AA31" s="19">
        <v>0</v>
      </c>
      <c r="AB31" s="19">
        <v>0</v>
      </c>
      <c r="AC31" s="20">
        <v>0</v>
      </c>
      <c r="AE31" s="49">
        <f t="shared" si="4"/>
        <v>-1</v>
      </c>
      <c r="AF31" s="40">
        <v>2.7847873358567643E-2</v>
      </c>
      <c r="AG31" s="50">
        <f t="shared" si="5"/>
        <v>4061.2310782273494</v>
      </c>
    </row>
    <row r="32" spans="1:33" ht="16.5" thickBot="1" x14ac:dyDescent="0.3">
      <c r="A32" s="4" t="s">
        <v>40</v>
      </c>
      <c r="B32" s="5">
        <f t="shared" ref="B32:AC32" si="20">SUM(B33:B35)+B41</f>
        <v>17656.057919999999</v>
      </c>
      <c r="C32" s="6">
        <f t="shared" si="20"/>
        <v>19336.293299800003</v>
      </c>
      <c r="D32" s="6">
        <f>SUM(D33:D35)+D41</f>
        <v>27704.0000000008</v>
      </c>
      <c r="E32" s="6">
        <f t="shared" si="20"/>
        <v>27868.493878794001</v>
      </c>
      <c r="F32" s="6">
        <f t="shared" si="20"/>
        <v>34130.673115157821</v>
      </c>
      <c r="G32" s="6">
        <f t="shared" si="20"/>
        <v>31210.915008612556</v>
      </c>
      <c r="H32" s="7">
        <f t="shared" si="20"/>
        <v>58916.161878870931</v>
      </c>
      <c r="I32" s="5">
        <f t="shared" si="20"/>
        <v>-5020.9304999999995</v>
      </c>
      <c r="J32" s="6">
        <f t="shared" si="20"/>
        <v>-1657.2682450999991</v>
      </c>
      <c r="K32" s="6">
        <f t="shared" si="20"/>
        <v>-4396.2925869025503</v>
      </c>
      <c r="L32" s="6">
        <f t="shared" si="20"/>
        <v>-782.00452455300331</v>
      </c>
      <c r="M32" s="6">
        <f t="shared" si="20"/>
        <v>9.639607610408973</v>
      </c>
      <c r="N32" s="6">
        <f t="shared" si="20"/>
        <v>352.99950373872235</v>
      </c>
      <c r="O32" s="7">
        <f t="shared" si="20"/>
        <v>3041.3173167508885</v>
      </c>
      <c r="P32" s="5">
        <f>SUM(P33:P35)+P41</f>
        <v>-324.99814500000002</v>
      </c>
      <c r="Q32" s="6">
        <f t="shared" si="20"/>
        <v>-213.76249999999999</v>
      </c>
      <c r="R32" s="6">
        <f t="shared" si="20"/>
        <v>-382.45</v>
      </c>
      <c r="S32" s="6">
        <f t="shared" si="20"/>
        <v>-149.30449999999999</v>
      </c>
      <c r="T32" s="6">
        <f t="shared" si="20"/>
        <v>24.668499999999995</v>
      </c>
      <c r="U32" s="6">
        <f t="shared" si="20"/>
        <v>-56.729500000000002</v>
      </c>
      <c r="V32" s="7">
        <f t="shared" si="20"/>
        <v>-137.86449999999999</v>
      </c>
      <c r="W32" s="5">
        <f t="shared" si="20"/>
        <v>-5345.928645</v>
      </c>
      <c r="X32" s="6">
        <f t="shared" si="20"/>
        <v>-1871.0307450999994</v>
      </c>
      <c r="Y32" s="6">
        <f t="shared" si="20"/>
        <v>-4778.7425869025501</v>
      </c>
      <c r="Z32" s="6">
        <f t="shared" si="20"/>
        <v>-931.30902455300327</v>
      </c>
      <c r="AA32" s="6">
        <f t="shared" si="20"/>
        <v>34.308107610409024</v>
      </c>
      <c r="AB32" s="6">
        <f t="shared" si="20"/>
        <v>296.27000373872238</v>
      </c>
      <c r="AC32" s="7">
        <f t="shared" si="20"/>
        <v>2903.4528167508884</v>
      </c>
      <c r="AE32" s="49">
        <f t="shared" si="4"/>
        <v>9.5164809008510876E-2</v>
      </c>
      <c r="AF32" s="40">
        <v>-0.17457446280350619</v>
      </c>
    </row>
    <row r="33" spans="1:33" ht="15" x14ac:dyDescent="0.25">
      <c r="A33" s="8" t="s">
        <v>41</v>
      </c>
      <c r="B33" s="11">
        <v>5391</v>
      </c>
      <c r="C33" s="45">
        <v>6507.7610000000004</v>
      </c>
      <c r="D33" s="19">
        <v>13601</v>
      </c>
      <c r="E33" s="19">
        <v>13855</v>
      </c>
      <c r="F33" s="19">
        <v>19639.824000000001</v>
      </c>
      <c r="G33" s="19">
        <v>16084</v>
      </c>
      <c r="H33" s="20">
        <v>43073.525000000001</v>
      </c>
      <c r="I33" s="11">
        <v>-1978.2249999999999</v>
      </c>
      <c r="J33" s="19">
        <v>-1276.2379999999987</v>
      </c>
      <c r="K33" s="19">
        <v>-1608</v>
      </c>
      <c r="L33" s="19">
        <v>-343.77600000000291</v>
      </c>
      <c r="M33" s="19">
        <v>339.01699999999937</v>
      </c>
      <c r="N33" s="19">
        <v>534.09900000000084</v>
      </c>
      <c r="O33" s="20">
        <v>3029.7540000000049</v>
      </c>
      <c r="P33" s="11">
        <v>-265</v>
      </c>
      <c r="Q33" s="19">
        <v>-199.04399999999998</v>
      </c>
      <c r="R33" s="19">
        <v>-296</v>
      </c>
      <c r="S33" s="19">
        <v>-100</v>
      </c>
      <c r="T33" s="19">
        <v>100</v>
      </c>
      <c r="U33" s="19">
        <v>60</v>
      </c>
      <c r="V33" s="20">
        <v>20</v>
      </c>
      <c r="W33" s="11">
        <v>-2243.2249999999999</v>
      </c>
      <c r="X33" s="19">
        <v>-1475.2819999999988</v>
      </c>
      <c r="Y33" s="19">
        <v>-1904</v>
      </c>
      <c r="Z33" s="19">
        <v>-443.77600000000291</v>
      </c>
      <c r="AA33" s="19">
        <v>439.01699999999937</v>
      </c>
      <c r="AB33" s="19">
        <v>594.09900000000084</v>
      </c>
      <c r="AC33" s="20">
        <v>3049.7540000000049</v>
      </c>
      <c r="AE33" s="49">
        <f t="shared" si="4"/>
        <v>0.20715284733815631</v>
      </c>
      <c r="AF33" s="40">
        <v>-0.64679391294434352</v>
      </c>
      <c r="AG33" s="50">
        <f t="shared" si="5"/>
        <v>-4603.6269846829564</v>
      </c>
    </row>
    <row r="34" spans="1:33" ht="15" x14ac:dyDescent="0.25">
      <c r="A34" s="10" t="s">
        <v>42</v>
      </c>
      <c r="B34" s="11">
        <v>3201</v>
      </c>
      <c r="C34" s="45">
        <v>2502.913</v>
      </c>
      <c r="D34" s="19">
        <v>4400</v>
      </c>
      <c r="E34" s="19">
        <v>3138.9859999999999</v>
      </c>
      <c r="F34" s="19">
        <v>3338.9859999999999</v>
      </c>
      <c r="G34" s="19">
        <v>3694.1860000000001</v>
      </c>
      <c r="H34" s="20">
        <v>4116.9859999999999</v>
      </c>
      <c r="I34" s="11">
        <v>-3057</v>
      </c>
      <c r="J34" s="19">
        <v>-495.61500000000018</v>
      </c>
      <c r="K34" s="19">
        <v>-3009</v>
      </c>
      <c r="L34" s="19">
        <v>-565.447</v>
      </c>
      <c r="M34" s="19">
        <v>-503.51799999999997</v>
      </c>
      <c r="N34" s="19">
        <v>-426.62200000000047</v>
      </c>
      <c r="O34" s="20">
        <v>-319.43800000000005</v>
      </c>
      <c r="P34" s="11">
        <v>24</v>
      </c>
      <c r="Q34" s="19">
        <v>0.32699999999999996</v>
      </c>
      <c r="R34" s="19">
        <v>2</v>
      </c>
      <c r="S34" s="19">
        <v>-31.908999999999999</v>
      </c>
      <c r="T34" s="19">
        <v>-58.686</v>
      </c>
      <c r="U34" s="19">
        <v>-100.084</v>
      </c>
      <c r="V34" s="20">
        <v>-141.21899999999999</v>
      </c>
      <c r="W34" s="11">
        <v>-3033</v>
      </c>
      <c r="X34" s="19">
        <v>-495.28800000000018</v>
      </c>
      <c r="Y34" s="19">
        <v>-3007</v>
      </c>
      <c r="Z34" s="19">
        <v>-597.35599999999999</v>
      </c>
      <c r="AA34" s="19">
        <v>-562.20399999999995</v>
      </c>
      <c r="AB34" s="19">
        <v>-526.70600000000047</v>
      </c>
      <c r="AC34" s="20">
        <v>-460.65700000000004</v>
      </c>
      <c r="AE34" s="49">
        <f t="shared" si="4"/>
        <v>-0.21808403623867545</v>
      </c>
      <c r="AF34" s="40">
        <v>-0.3037455119173692</v>
      </c>
      <c r="AG34" s="23">
        <f t="shared" si="5"/>
        <v>-274.20238364749866</v>
      </c>
    </row>
    <row r="35" spans="1:33" ht="15" x14ac:dyDescent="0.25">
      <c r="A35" s="10" t="s">
        <v>40</v>
      </c>
      <c r="B35" s="11">
        <f t="shared" ref="B35:AC35" si="21">SUM(B36:B40)</f>
        <v>1634.05792</v>
      </c>
      <c r="C35" s="45">
        <f t="shared" si="21"/>
        <v>1779.6192997999999</v>
      </c>
      <c r="D35" s="19">
        <f t="shared" si="21"/>
        <v>1830.0000000007999</v>
      </c>
      <c r="E35" s="19">
        <f t="shared" si="21"/>
        <v>1878.5078787939999</v>
      </c>
      <c r="F35" s="19">
        <f t="shared" si="21"/>
        <v>2003.8631151578199</v>
      </c>
      <c r="G35" s="19">
        <f t="shared" si="21"/>
        <v>2155.7290086125549</v>
      </c>
      <c r="H35" s="20">
        <f t="shared" si="21"/>
        <v>2320.6508788709316</v>
      </c>
      <c r="I35" s="11">
        <f t="shared" si="21"/>
        <v>-148.14550000000006</v>
      </c>
      <c r="J35" s="19">
        <f t="shared" si="21"/>
        <v>95.58475489999968</v>
      </c>
      <c r="K35" s="19">
        <f t="shared" si="21"/>
        <v>240.70741309745006</v>
      </c>
      <c r="L35" s="19">
        <f t="shared" si="21"/>
        <v>105.21847544699956</v>
      </c>
      <c r="M35" s="19">
        <f t="shared" si="21"/>
        <v>152.14060761040957</v>
      </c>
      <c r="N35" s="19">
        <f t="shared" si="21"/>
        <v>223.52250373872198</v>
      </c>
      <c r="O35" s="20">
        <f t="shared" si="21"/>
        <v>308.00131675088375</v>
      </c>
      <c r="P35" s="11">
        <f>SUM(P36:P40)</f>
        <v>4.0018550000000017</v>
      </c>
      <c r="Q35" s="19">
        <f t="shared" si="21"/>
        <v>3.9544999999999981</v>
      </c>
      <c r="R35" s="19">
        <f t="shared" si="21"/>
        <v>2.5499999999999998</v>
      </c>
      <c r="S35" s="19">
        <f t="shared" si="21"/>
        <v>4.604499999999998</v>
      </c>
      <c r="T35" s="19">
        <f t="shared" si="21"/>
        <v>5.354499999999998</v>
      </c>
      <c r="U35" s="19">
        <f t="shared" si="21"/>
        <v>5.354499999999998</v>
      </c>
      <c r="V35" s="20">
        <f t="shared" si="21"/>
        <v>5.354499999999998</v>
      </c>
      <c r="W35" s="11">
        <f t="shared" si="21"/>
        <v>-144.14364500000005</v>
      </c>
      <c r="X35" s="19">
        <f t="shared" si="21"/>
        <v>99.53925489999969</v>
      </c>
      <c r="Y35" s="19">
        <f t="shared" si="21"/>
        <v>243.25741309745007</v>
      </c>
      <c r="Z35" s="19">
        <f t="shared" si="21"/>
        <v>109.82297544699956</v>
      </c>
      <c r="AA35" s="19">
        <f t="shared" si="21"/>
        <v>157.4951076104096</v>
      </c>
      <c r="AB35" s="19">
        <f t="shared" si="21"/>
        <v>228.87700373872198</v>
      </c>
      <c r="AC35" s="20">
        <f t="shared" si="21"/>
        <v>313.35581675088378</v>
      </c>
      <c r="AE35" s="49">
        <f t="shared" si="4"/>
        <v>8.907969418856343E-2</v>
      </c>
      <c r="AF35" s="40">
        <v>0.10369641732639789</v>
      </c>
      <c r="AG35" s="23">
        <f t="shared" si="5"/>
        <v>23.88457220782584</v>
      </c>
    </row>
    <row r="36" spans="1:33" ht="15" x14ac:dyDescent="0.25">
      <c r="A36" s="17" t="s">
        <v>43</v>
      </c>
      <c r="B36" s="14">
        <v>1582.1546599999999</v>
      </c>
      <c r="C36" s="37">
        <v>1629.6192997999999</v>
      </c>
      <c r="D36" s="16">
        <v>1600.0000000007999</v>
      </c>
      <c r="E36" s="16">
        <v>1678.5078787939999</v>
      </c>
      <c r="F36" s="16">
        <v>1728.8631151578199</v>
      </c>
      <c r="G36" s="16">
        <v>1780.7290086125547</v>
      </c>
      <c r="H36" s="22">
        <v>1834.1508788709314</v>
      </c>
      <c r="I36" s="14">
        <v>-119.28240000000007</v>
      </c>
      <c r="J36" s="16">
        <v>39.839254899999688</v>
      </c>
      <c r="K36" s="16">
        <v>140.16193143080005</v>
      </c>
      <c r="L36" s="16">
        <v>37.452975446999559</v>
      </c>
      <c r="M36" s="16">
        <v>29.845107610409585</v>
      </c>
      <c r="N36" s="16">
        <v>22.009003738722001</v>
      </c>
      <c r="O36" s="22">
        <v>13.937816750883783</v>
      </c>
      <c r="P36" s="14">
        <v>5.3545000000000016</v>
      </c>
      <c r="Q36" s="16">
        <v>5.354499999999998</v>
      </c>
      <c r="R36" s="16">
        <v>6</v>
      </c>
      <c r="S36" s="16">
        <v>5.354499999999998</v>
      </c>
      <c r="T36" s="16">
        <v>5.354499999999998</v>
      </c>
      <c r="U36" s="16">
        <v>5.354499999999998</v>
      </c>
      <c r="V36" s="22">
        <v>5.354499999999998</v>
      </c>
      <c r="W36" s="14">
        <v>-113.92790000000007</v>
      </c>
      <c r="X36" s="16">
        <v>45.193754899999689</v>
      </c>
      <c r="Y36" s="16">
        <v>146.16193143080005</v>
      </c>
      <c r="Z36" s="16">
        <v>42.807475446999561</v>
      </c>
      <c r="AA36" s="16">
        <v>35.199607610409586</v>
      </c>
      <c r="AB36" s="16">
        <v>27.363503738721999</v>
      </c>
      <c r="AC36" s="22">
        <v>19.292316750883781</v>
      </c>
      <c r="AE36" s="49"/>
      <c r="AF36" s="40"/>
    </row>
    <row r="37" spans="1:33" ht="15" x14ac:dyDescent="0.25">
      <c r="A37" s="17" t="s">
        <v>44</v>
      </c>
      <c r="B37" s="14">
        <v>51.903260000000003</v>
      </c>
      <c r="C37" s="37">
        <v>150</v>
      </c>
      <c r="D37" s="16">
        <v>230</v>
      </c>
      <c r="E37" s="16">
        <v>200</v>
      </c>
      <c r="F37" s="16">
        <v>275</v>
      </c>
      <c r="G37" s="16">
        <v>375</v>
      </c>
      <c r="H37" s="22">
        <v>486.5</v>
      </c>
      <c r="I37" s="14">
        <v>-28.863099999999996</v>
      </c>
      <c r="J37" s="16">
        <v>55.745499999999993</v>
      </c>
      <c r="K37" s="16">
        <v>100.54548166665001</v>
      </c>
      <c r="L37" s="16">
        <v>67.765500000000003</v>
      </c>
      <c r="M37" s="16">
        <v>122.2955</v>
      </c>
      <c r="N37" s="16">
        <v>201.51349999999999</v>
      </c>
      <c r="O37" s="22">
        <v>294.06349999999998</v>
      </c>
      <c r="P37" s="14">
        <v>-1.3526449999999999</v>
      </c>
      <c r="Q37" s="16">
        <v>-1.4</v>
      </c>
      <c r="R37" s="16">
        <v>-3.45</v>
      </c>
      <c r="S37" s="16">
        <v>-0.75</v>
      </c>
      <c r="T37" s="16">
        <v>0</v>
      </c>
      <c r="U37" s="16">
        <v>0</v>
      </c>
      <c r="V37" s="22">
        <v>0</v>
      </c>
      <c r="W37" s="14">
        <v>-30.215744999999995</v>
      </c>
      <c r="X37" s="16">
        <v>54.345499999999994</v>
      </c>
      <c r="Y37" s="16">
        <v>97.095481666650002</v>
      </c>
      <c r="Z37" s="16">
        <v>67.015500000000003</v>
      </c>
      <c r="AA37" s="16">
        <v>122.2955</v>
      </c>
      <c r="AB37" s="16">
        <v>201.51349999999999</v>
      </c>
      <c r="AC37" s="22">
        <v>294.06349999999998</v>
      </c>
      <c r="AE37" s="49"/>
      <c r="AF37" s="40"/>
    </row>
    <row r="38" spans="1:33" ht="15" x14ac:dyDescent="0.25">
      <c r="A38" s="17" t="s">
        <v>45</v>
      </c>
      <c r="B38" s="14"/>
      <c r="C38" s="37"/>
      <c r="D38" s="16"/>
      <c r="E38" s="16"/>
      <c r="F38" s="16"/>
      <c r="G38" s="16"/>
      <c r="H38" s="22"/>
      <c r="I38" s="14"/>
      <c r="J38" s="16"/>
      <c r="K38" s="16"/>
      <c r="L38" s="16"/>
      <c r="M38" s="16"/>
      <c r="N38" s="16"/>
      <c r="O38" s="22"/>
      <c r="P38" s="14"/>
      <c r="Q38" s="16"/>
      <c r="R38" s="16"/>
      <c r="S38" s="16"/>
      <c r="T38" s="16"/>
      <c r="U38" s="16"/>
      <c r="V38" s="22"/>
      <c r="W38" s="14"/>
      <c r="X38" s="16"/>
      <c r="Y38" s="16"/>
      <c r="Z38" s="16"/>
      <c r="AA38" s="16"/>
      <c r="AB38" s="16"/>
      <c r="AC38" s="22"/>
      <c r="AE38" s="49"/>
    </row>
    <row r="39" spans="1:33" ht="15" x14ac:dyDescent="0.25">
      <c r="A39" s="17" t="s">
        <v>46</v>
      </c>
      <c r="B39" s="14"/>
      <c r="C39" s="16"/>
      <c r="D39" s="16"/>
      <c r="E39" s="16"/>
      <c r="F39" s="16"/>
      <c r="G39" s="16"/>
      <c r="H39" s="22"/>
      <c r="I39" s="14"/>
      <c r="J39" s="16"/>
      <c r="K39" s="16"/>
      <c r="L39" s="16"/>
      <c r="M39" s="16"/>
      <c r="N39" s="16"/>
      <c r="O39" s="22"/>
      <c r="P39" s="14"/>
      <c r="Q39" s="16"/>
      <c r="R39" s="16"/>
      <c r="S39" s="16"/>
      <c r="T39" s="16"/>
      <c r="U39" s="16"/>
      <c r="V39" s="22"/>
      <c r="W39" s="14"/>
      <c r="X39" s="16"/>
      <c r="Y39" s="16"/>
      <c r="Z39" s="16"/>
      <c r="AA39" s="16"/>
      <c r="AB39" s="16"/>
      <c r="AC39" s="22"/>
      <c r="AE39" s="49"/>
    </row>
    <row r="40" spans="1:33" ht="15" x14ac:dyDescent="0.25">
      <c r="A40" s="17" t="s">
        <v>47</v>
      </c>
      <c r="B40" s="14"/>
      <c r="C40" s="16"/>
      <c r="D40" s="16"/>
      <c r="E40" s="16"/>
      <c r="F40" s="16"/>
      <c r="G40" s="16"/>
      <c r="H40" s="22"/>
      <c r="I40" s="14"/>
      <c r="J40" s="16"/>
      <c r="K40" s="16"/>
      <c r="L40" s="16"/>
      <c r="M40" s="16"/>
      <c r="N40" s="16"/>
      <c r="O40" s="22"/>
      <c r="P40" s="14"/>
      <c r="Q40" s="16"/>
      <c r="R40" s="16"/>
      <c r="S40" s="16"/>
      <c r="T40" s="16"/>
      <c r="U40" s="16"/>
      <c r="V40" s="22"/>
      <c r="W40" s="14"/>
      <c r="X40" s="16"/>
      <c r="Y40" s="16"/>
      <c r="Z40" s="16"/>
      <c r="AA40" s="16"/>
      <c r="AB40" s="16"/>
      <c r="AC40" s="22"/>
      <c r="AE40" s="49"/>
    </row>
    <row r="41" spans="1:33" ht="15.75" thickBot="1" x14ac:dyDescent="0.3">
      <c r="A41" s="18" t="s">
        <v>48</v>
      </c>
      <c r="B41" s="12">
        <v>7430</v>
      </c>
      <c r="C41" s="38">
        <v>8546</v>
      </c>
      <c r="D41" s="29">
        <v>7873</v>
      </c>
      <c r="E41" s="29">
        <v>8996</v>
      </c>
      <c r="F41" s="29">
        <v>9148</v>
      </c>
      <c r="G41" s="29">
        <v>9277</v>
      </c>
      <c r="H41" s="30">
        <v>9405</v>
      </c>
      <c r="I41" s="12">
        <v>162.44000000000051</v>
      </c>
      <c r="J41" s="29">
        <v>19</v>
      </c>
      <c r="K41" s="29">
        <v>-20</v>
      </c>
      <c r="L41" s="29">
        <v>22</v>
      </c>
      <c r="M41" s="29">
        <v>22</v>
      </c>
      <c r="N41" s="29">
        <v>22</v>
      </c>
      <c r="O41" s="30">
        <v>23</v>
      </c>
      <c r="P41" s="12">
        <v>-88</v>
      </c>
      <c r="Q41" s="29">
        <v>-19</v>
      </c>
      <c r="R41" s="29">
        <v>-91</v>
      </c>
      <c r="S41" s="29">
        <v>-22</v>
      </c>
      <c r="T41" s="29">
        <v>-22</v>
      </c>
      <c r="U41" s="29">
        <v>-22</v>
      </c>
      <c r="V41" s="30">
        <v>-22</v>
      </c>
      <c r="W41" s="12">
        <v>74.440000000000509</v>
      </c>
      <c r="X41" s="29">
        <v>0</v>
      </c>
      <c r="Y41" s="29">
        <v>-111</v>
      </c>
      <c r="Z41" s="29">
        <v>0</v>
      </c>
      <c r="AA41" s="29">
        <v>0</v>
      </c>
      <c r="AB41" s="29">
        <v>0</v>
      </c>
      <c r="AC41" s="30">
        <v>1</v>
      </c>
      <c r="AE41" s="49">
        <f t="shared" si="4"/>
        <v>0.15020188425302816</v>
      </c>
      <c r="AF41" s="40">
        <v>0.24773714829998283</v>
      </c>
      <c r="AG41" s="23">
        <f t="shared" ref="AG41" si="22">+(B41*(1+AF41))-C41</f>
        <v>724.68701186887301</v>
      </c>
    </row>
    <row r="42" spans="1:33" ht="16.5" thickBot="1" x14ac:dyDescent="0.3">
      <c r="A42" s="4" t="s">
        <v>49</v>
      </c>
      <c r="B42" s="5">
        <f t="shared" ref="B42:AC42" si="23">+B32+B28+B23+B19+B11+B3</f>
        <v>758984.8671850001</v>
      </c>
      <c r="C42" s="6">
        <f t="shared" si="23"/>
        <v>756198.44759030361</v>
      </c>
      <c r="D42" s="6">
        <f t="shared" si="23"/>
        <v>783846.34336820035</v>
      </c>
      <c r="E42" s="6">
        <f t="shared" si="23"/>
        <v>779068.29336435359</v>
      </c>
      <c r="F42" s="6">
        <f t="shared" si="23"/>
        <v>832572.60304632387</v>
      </c>
      <c r="G42" s="6">
        <f t="shared" si="23"/>
        <v>877443.30602586782</v>
      </c>
      <c r="H42" s="7">
        <f t="shared" si="23"/>
        <v>953170.25586085441</v>
      </c>
      <c r="I42" s="5">
        <f t="shared" si="23"/>
        <v>-1477.442789999996</v>
      </c>
      <c r="J42" s="6">
        <f t="shared" si="23"/>
        <v>7735.8949103705891</v>
      </c>
      <c r="K42" s="6">
        <f t="shared" si="23"/>
        <v>1277.8785200893626</v>
      </c>
      <c r="L42" s="6">
        <f t="shared" si="23"/>
        <v>13131.395277990518</v>
      </c>
      <c r="M42" s="6">
        <f t="shared" si="23"/>
        <v>18590.824864089103</v>
      </c>
      <c r="N42" s="6">
        <f t="shared" si="23"/>
        <v>24459.14409648423</v>
      </c>
      <c r="O42" s="7">
        <f t="shared" si="23"/>
        <v>34167.518940879796</v>
      </c>
      <c r="P42" s="5">
        <f>+P32+P28+P23+P19+P11+P3</f>
        <v>-5963.5060149999999</v>
      </c>
      <c r="Q42" s="6">
        <f t="shared" si="23"/>
        <v>-4868.3113718769118</v>
      </c>
      <c r="R42" s="6">
        <f t="shared" si="23"/>
        <v>-7550.9370946273002</v>
      </c>
      <c r="S42" s="6">
        <f t="shared" si="23"/>
        <v>-4958.2033525286024</v>
      </c>
      <c r="T42" s="6">
        <f t="shared" si="23"/>
        <v>-4470.134985795813</v>
      </c>
      <c r="U42" s="6">
        <f t="shared" si="23"/>
        <v>-4466.0965351665527</v>
      </c>
      <c r="V42" s="7">
        <f t="shared" si="23"/>
        <v>-4304.9806640484549</v>
      </c>
      <c r="W42" s="5">
        <f t="shared" si="23"/>
        <v>-7440.9488049999964</v>
      </c>
      <c r="X42" s="6">
        <f t="shared" si="23"/>
        <v>2867.5835384936754</v>
      </c>
      <c r="Y42" s="6">
        <f t="shared" si="23"/>
        <v>-6273.0585745379367</v>
      </c>
      <c r="Z42" s="6">
        <f t="shared" si="23"/>
        <v>8173.191925461917</v>
      </c>
      <c r="AA42" s="6">
        <f t="shared" si="23"/>
        <v>14120.689878293289</v>
      </c>
      <c r="AB42" s="6">
        <f t="shared" si="23"/>
        <v>19993.047561317675</v>
      </c>
      <c r="AC42" s="7">
        <f t="shared" si="23"/>
        <v>29862.538276831343</v>
      </c>
      <c r="AE42" s="49">
        <f t="shared" si="4"/>
        <v>-3.6712452581973976E-3</v>
      </c>
      <c r="AF42" s="40">
        <v>2.4431323052863441E-2</v>
      </c>
      <c r="AG42" s="23">
        <f>+(B42*(1+AF42))-C42</f>
        <v>21329.424077127827</v>
      </c>
    </row>
    <row r="43" spans="1:33" ht="15" x14ac:dyDescent="0.25">
      <c r="A43" s="8" t="s">
        <v>50</v>
      </c>
      <c r="B43" s="9">
        <v>5830.020770000001</v>
      </c>
      <c r="C43" s="27">
        <v>7729.4645500000015</v>
      </c>
      <c r="D43" s="27">
        <v>7147.7782399999987</v>
      </c>
      <c r="E43" s="27">
        <v>7638.7560000000003</v>
      </c>
      <c r="F43" s="27">
        <v>7738.0680000000002</v>
      </c>
      <c r="G43" s="27">
        <v>7838.6632469999986</v>
      </c>
      <c r="H43" s="28">
        <v>7940.565581210999</v>
      </c>
      <c r="I43" s="9">
        <v>-5054.8851800000011</v>
      </c>
      <c r="J43" s="27">
        <v>-7047.7095293619068</v>
      </c>
      <c r="K43" s="27">
        <v>-2923.4496593692002</v>
      </c>
      <c r="L43" s="27">
        <v>-7630.5893051866715</v>
      </c>
      <c r="M43" s="27">
        <v>-7871.5168620362692</v>
      </c>
      <c r="N43" s="27">
        <v>-7724.6669793624478</v>
      </c>
      <c r="O43" s="28">
        <v>-7691.0053331295476</v>
      </c>
      <c r="P43" s="9">
        <v>-690.88340999999855</v>
      </c>
      <c r="Q43" s="27">
        <v>-1671.0324200000002</v>
      </c>
      <c r="R43" s="27">
        <v>-1039.0628699999997</v>
      </c>
      <c r="S43" s="27">
        <v>-1811.9114338781387</v>
      </c>
      <c r="T43" s="27">
        <v>-2550.1218445631484</v>
      </c>
      <c r="U43" s="27">
        <v>-3020.3936633749822</v>
      </c>
      <c r="V43" s="28">
        <v>-3495.1680141770162</v>
      </c>
      <c r="W43" s="9">
        <v>-5745.7685899999997</v>
      </c>
      <c r="X43" s="27">
        <v>-8718.7419493619072</v>
      </c>
      <c r="Y43" s="27">
        <v>-3962.5125293691999</v>
      </c>
      <c r="Z43" s="27">
        <v>-9442.5007390648097</v>
      </c>
      <c r="AA43" s="27">
        <v>-10421.638706599417</v>
      </c>
      <c r="AB43" s="27">
        <v>-10745.06064273743</v>
      </c>
      <c r="AC43" s="28">
        <v>-11186.173347306563</v>
      </c>
      <c r="AE43" s="49">
        <f t="shared" si="4"/>
        <v>0.32580394735025964</v>
      </c>
      <c r="AF43" s="40">
        <v>-8.8437528915057406E-3</v>
      </c>
    </row>
    <row r="44" spans="1:33" ht="15" x14ac:dyDescent="0.25">
      <c r="A44" s="10" t="s">
        <v>55</v>
      </c>
      <c r="B44" s="11">
        <v>-8929.4069549999549</v>
      </c>
      <c r="C44" s="19">
        <v>-8083.4715725805381</v>
      </c>
      <c r="D44" s="19">
        <v>-11099.8243708683</v>
      </c>
      <c r="E44" s="19">
        <v>-8326.2721406796118</v>
      </c>
      <c r="F44" s="19">
        <v>-8483.3157442436877</v>
      </c>
      <c r="G44" s="19">
        <v>-8618.2462089188557</v>
      </c>
      <c r="H44" s="20">
        <v>-8755.042302634798</v>
      </c>
      <c r="I44" s="11">
        <v>355.73399999999998</v>
      </c>
      <c r="J44" s="19">
        <v>0</v>
      </c>
      <c r="K44" s="19">
        <v>-446.22</v>
      </c>
      <c r="L44" s="19">
        <v>0</v>
      </c>
      <c r="M44" s="19">
        <v>0</v>
      </c>
      <c r="N44" s="19">
        <v>0</v>
      </c>
      <c r="O44" s="20">
        <v>0</v>
      </c>
      <c r="P44" s="11">
        <v>-1233.2855750000012</v>
      </c>
      <c r="Q44" s="19">
        <v>-698.8966058265737</v>
      </c>
      <c r="R44" s="19">
        <v>0</v>
      </c>
      <c r="S44" s="19">
        <v>-186.44442328219338</v>
      </c>
      <c r="T44" s="19">
        <v>16.14630176861192</v>
      </c>
      <c r="U44" s="19">
        <v>-49.833544875231382</v>
      </c>
      <c r="V44" s="20">
        <v>-87.749152094726014</v>
      </c>
      <c r="W44" s="11">
        <v>-561.36460500000294</v>
      </c>
      <c r="X44" s="19">
        <v>0</v>
      </c>
      <c r="Y44" s="19">
        <v>-446.22</v>
      </c>
      <c r="Z44" s="19">
        <v>0</v>
      </c>
      <c r="AA44" s="19">
        <v>0</v>
      </c>
      <c r="AB44" s="19">
        <v>0</v>
      </c>
      <c r="AC44" s="20">
        <v>0</v>
      </c>
      <c r="AE44" s="49">
        <f t="shared" si="4"/>
        <v>-9.4735897544208303E-2</v>
      </c>
      <c r="AF44" s="40">
        <v>-6.9969850090386143E-2</v>
      </c>
    </row>
    <row r="45" spans="1:33" ht="15" x14ac:dyDescent="0.25">
      <c r="A45" s="10" t="s">
        <v>57</v>
      </c>
      <c r="B45" s="11">
        <v>2079</v>
      </c>
      <c r="C45" s="51"/>
      <c r="D45" s="19">
        <v>2028</v>
      </c>
      <c r="E45" s="36"/>
      <c r="F45" s="19"/>
      <c r="G45" s="19"/>
      <c r="H45" s="20"/>
      <c r="I45" s="11">
        <v>-6855.6739999999409</v>
      </c>
      <c r="J45" s="36"/>
      <c r="K45" s="48">
        <v>-2692.6650058999999</v>
      </c>
      <c r="L45" s="36"/>
      <c r="M45" s="19"/>
      <c r="N45" s="19"/>
      <c r="O45" s="20"/>
      <c r="P45" s="11">
        <v>-3435</v>
      </c>
      <c r="Q45" s="36"/>
      <c r="R45" s="48">
        <v>-1933.3894580782166</v>
      </c>
      <c r="S45" s="36"/>
      <c r="T45" s="19"/>
      <c r="U45" s="19"/>
      <c r="V45" s="20"/>
      <c r="W45" s="11">
        <v>-10290.673999999941</v>
      </c>
      <c r="X45" s="36"/>
      <c r="Y45" s="48">
        <v>-4626.0544639782165</v>
      </c>
      <c r="Z45" s="36"/>
      <c r="AA45" s="19"/>
      <c r="AB45" s="19"/>
      <c r="AC45" s="20"/>
      <c r="AE45" s="49">
        <f t="shared" si="4"/>
        <v>-1</v>
      </c>
    </row>
    <row r="46" spans="1:33" ht="15.75" thickBot="1" x14ac:dyDescent="0.3">
      <c r="A46" s="10" t="s">
        <v>56</v>
      </c>
      <c r="B46" s="12">
        <v>-11402</v>
      </c>
      <c r="C46" s="38">
        <v>-8060.8539999999994</v>
      </c>
      <c r="D46" s="38">
        <v>-11637</v>
      </c>
      <c r="E46" s="38">
        <v>-10311.677</v>
      </c>
      <c r="F46" s="38">
        <v>-8576.5660000000007</v>
      </c>
      <c r="G46" s="38">
        <v>-8954.8249999999989</v>
      </c>
      <c r="H46" s="39">
        <v>-9380.92</v>
      </c>
      <c r="I46" s="43">
        <v>11957.744999999941</v>
      </c>
      <c r="J46" s="29">
        <v>0</v>
      </c>
      <c r="K46" s="29">
        <v>-7</v>
      </c>
      <c r="L46" s="29">
        <v>0</v>
      </c>
      <c r="M46" s="29">
        <v>0</v>
      </c>
      <c r="N46" s="29">
        <v>0</v>
      </c>
      <c r="O46" s="30">
        <v>0</v>
      </c>
      <c r="P46" s="43">
        <v>171.75600000000031</v>
      </c>
      <c r="Q46" s="29">
        <v>-5.7649999999999997</v>
      </c>
      <c r="R46" s="29">
        <v>0</v>
      </c>
      <c r="S46" s="29">
        <v>-5.47</v>
      </c>
      <c r="T46" s="29">
        <v>-5.5</v>
      </c>
      <c r="U46" s="29">
        <v>-5.5</v>
      </c>
      <c r="V46" s="30">
        <v>-5.5</v>
      </c>
      <c r="W46" s="43">
        <v>11921.236999999939</v>
      </c>
      <c r="X46" s="29"/>
      <c r="Y46" s="29">
        <v>-7</v>
      </c>
      <c r="Z46" s="29"/>
      <c r="AA46" s="29"/>
      <c r="AB46" s="29"/>
      <c r="AC46" s="30"/>
      <c r="AE46" s="49">
        <f t="shared" si="4"/>
        <v>-0.2930315734081741</v>
      </c>
    </row>
    <row r="47" spans="1:33" ht="16.5" thickBot="1" x14ac:dyDescent="0.3">
      <c r="A47" s="4" t="s">
        <v>51</v>
      </c>
      <c r="B47" s="5">
        <f>+B42+B43+B44+B45+B46</f>
        <v>746562.48100000015</v>
      </c>
      <c r="C47" s="6">
        <f t="shared" ref="C47:AC47" si="24">+C42+C43+C44+C45+C46</f>
        <v>747783.58656772308</v>
      </c>
      <c r="D47" s="6">
        <f t="shared" si="24"/>
        <v>770285.2972373321</v>
      </c>
      <c r="E47" s="6">
        <f t="shared" si="24"/>
        <v>768069.10022367397</v>
      </c>
      <c r="F47" s="6">
        <f t="shared" si="24"/>
        <v>823250.78930208017</v>
      </c>
      <c r="G47" s="6">
        <f t="shared" si="24"/>
        <v>867708.89806394896</v>
      </c>
      <c r="H47" s="7">
        <f t="shared" si="24"/>
        <v>942974.85913943057</v>
      </c>
      <c r="I47" s="5">
        <f>+I42+I43+I44+I45+I46</f>
        <v>-1074.5229699999963</v>
      </c>
      <c r="J47" s="6">
        <f t="shared" si="24"/>
        <v>688.18538100868227</v>
      </c>
      <c r="K47" s="6">
        <f t="shared" si="24"/>
        <v>-4791.4561451798381</v>
      </c>
      <c r="L47" s="6">
        <f t="shared" si="24"/>
        <v>5500.8059728038461</v>
      </c>
      <c r="M47" s="6">
        <f t="shared" si="24"/>
        <v>10719.308002052834</v>
      </c>
      <c r="N47" s="6">
        <f t="shared" si="24"/>
        <v>16734.47711712178</v>
      </c>
      <c r="O47" s="7">
        <f t="shared" si="24"/>
        <v>26476.513607750247</v>
      </c>
      <c r="P47" s="5">
        <f>+P42+P43+P44+P45+P46</f>
        <v>-11150.918999999998</v>
      </c>
      <c r="Q47" s="6">
        <f t="shared" si="24"/>
        <v>-7244.0053977034868</v>
      </c>
      <c r="R47" s="6">
        <f t="shared" si="24"/>
        <v>-10523.389422705515</v>
      </c>
      <c r="S47" s="6">
        <f t="shared" si="24"/>
        <v>-6962.0292096889343</v>
      </c>
      <c r="T47" s="6">
        <f t="shared" si="24"/>
        <v>-7009.6105285903495</v>
      </c>
      <c r="U47" s="6">
        <f t="shared" si="24"/>
        <v>-7541.8237434167659</v>
      </c>
      <c r="V47" s="7">
        <f t="shared" si="24"/>
        <v>-7893.3978303201966</v>
      </c>
      <c r="W47" s="5">
        <f t="shared" si="24"/>
        <v>-12117.519</v>
      </c>
      <c r="X47" s="6">
        <f t="shared" si="24"/>
        <v>-5851.1584108682318</v>
      </c>
      <c r="Y47" s="6">
        <f>+Y42+Y43+Y44+Y45+Y46</f>
        <v>-15314.845567885352</v>
      </c>
      <c r="Z47" s="6">
        <f t="shared" si="24"/>
        <v>-1269.3088136028928</v>
      </c>
      <c r="AA47" s="6">
        <f t="shared" si="24"/>
        <v>3699.0511716938727</v>
      </c>
      <c r="AB47" s="6">
        <f t="shared" si="24"/>
        <v>9247.9869185802454</v>
      </c>
      <c r="AC47" s="7">
        <f t="shared" si="24"/>
        <v>18676.364929524781</v>
      </c>
      <c r="AE47" s="49">
        <f t="shared" si="4"/>
        <v>1.6356374701382848E-3</v>
      </c>
    </row>
    <row r="48" spans="1:33" x14ac:dyDescent="0.3">
      <c r="A48" s="10" t="s">
        <v>52</v>
      </c>
      <c r="B48" s="11"/>
      <c r="C48" s="19"/>
      <c r="D48" s="19"/>
      <c r="E48" s="19"/>
      <c r="F48" s="19"/>
      <c r="G48" s="19"/>
      <c r="H48" s="20"/>
      <c r="I48" s="11"/>
      <c r="J48" s="19"/>
      <c r="K48" s="19"/>
      <c r="L48" s="19"/>
      <c r="M48" s="19"/>
      <c r="N48" s="19"/>
      <c r="O48" s="20"/>
      <c r="P48" s="11"/>
      <c r="Q48" s="19"/>
      <c r="R48" s="19"/>
      <c r="S48" s="19"/>
      <c r="T48" s="19"/>
      <c r="U48" s="19"/>
      <c r="V48" s="20"/>
      <c r="W48" s="11"/>
      <c r="X48" s="19"/>
      <c r="Y48" s="19"/>
      <c r="Z48" s="19"/>
      <c r="AA48" s="19"/>
      <c r="AB48" s="19"/>
      <c r="AC48" s="20"/>
      <c r="AE48" s="49"/>
    </row>
    <row r="49" spans="1:31" ht="15.75" thickBot="1" x14ac:dyDescent="0.3">
      <c r="A49" s="10" t="s">
        <v>53</v>
      </c>
      <c r="B49" s="14"/>
      <c r="C49" s="16"/>
      <c r="D49" s="16"/>
      <c r="E49" s="16"/>
      <c r="F49" s="16"/>
      <c r="G49" s="16"/>
      <c r="H49" s="22"/>
      <c r="I49" s="14"/>
      <c r="J49" s="16"/>
      <c r="K49" s="16"/>
      <c r="L49" s="16"/>
      <c r="M49" s="16"/>
      <c r="N49" s="16"/>
      <c r="O49" s="22"/>
      <c r="P49" s="14"/>
      <c r="Q49" s="16"/>
      <c r="R49" s="16"/>
      <c r="S49" s="16"/>
      <c r="T49" s="16"/>
      <c r="U49" s="16"/>
      <c r="V49" s="22"/>
      <c r="W49" s="14"/>
      <c r="X49" s="16"/>
      <c r="Y49" s="16"/>
      <c r="Z49" s="16"/>
      <c r="AA49" s="16"/>
      <c r="AB49" s="16"/>
      <c r="AC49" s="22"/>
      <c r="AE49" s="49"/>
    </row>
    <row r="50" spans="1:31" ht="16.5" thickBot="1" x14ac:dyDescent="0.3">
      <c r="A50" s="4" t="s">
        <v>54</v>
      </c>
      <c r="B50" s="5">
        <f>+B47+B48+B49</f>
        <v>746562.48100000015</v>
      </c>
      <c r="C50" s="6">
        <f t="shared" ref="C50:H50" si="25">+C47+C48+C49</f>
        <v>747783.58656772308</v>
      </c>
      <c r="D50" s="6">
        <f t="shared" si="25"/>
        <v>770285.2972373321</v>
      </c>
      <c r="E50" s="6">
        <f t="shared" si="25"/>
        <v>768069.10022367397</v>
      </c>
      <c r="F50" s="6">
        <f t="shared" si="25"/>
        <v>823250.78930208017</v>
      </c>
      <c r="G50" s="6">
        <f t="shared" si="25"/>
        <v>867708.89806394896</v>
      </c>
      <c r="H50" s="7">
        <f t="shared" si="25"/>
        <v>942974.85913943057</v>
      </c>
      <c r="I50" s="5">
        <f>+I47+I48+I49</f>
        <v>-1074.5229699999963</v>
      </c>
      <c r="J50" s="6">
        <f t="shared" ref="J50:O50" si="26">+J47+J48+J49</f>
        <v>688.18538100868227</v>
      </c>
      <c r="K50" s="6">
        <f t="shared" si="26"/>
        <v>-4791.4561451798381</v>
      </c>
      <c r="L50" s="6">
        <f t="shared" si="26"/>
        <v>5500.8059728038461</v>
      </c>
      <c r="M50" s="6">
        <f t="shared" si="26"/>
        <v>10719.308002052834</v>
      </c>
      <c r="N50" s="6">
        <f t="shared" si="26"/>
        <v>16734.47711712178</v>
      </c>
      <c r="O50" s="7">
        <f t="shared" si="26"/>
        <v>26476.513607750247</v>
      </c>
      <c r="P50" s="5">
        <f>+P47+P48+P49</f>
        <v>-11150.918999999998</v>
      </c>
      <c r="Q50" s="6">
        <f t="shared" ref="Q50:V50" si="27">+Q47+Q48+Q49</f>
        <v>-7244.0053977034868</v>
      </c>
      <c r="R50" s="6">
        <f t="shared" si="27"/>
        <v>-10523.389422705515</v>
      </c>
      <c r="S50" s="6">
        <f t="shared" si="27"/>
        <v>-6962.0292096889343</v>
      </c>
      <c r="T50" s="6">
        <f t="shared" si="27"/>
        <v>-7009.6105285903495</v>
      </c>
      <c r="U50" s="6">
        <f t="shared" si="27"/>
        <v>-7541.8237434167659</v>
      </c>
      <c r="V50" s="7">
        <f t="shared" si="27"/>
        <v>-7893.3978303201966</v>
      </c>
      <c r="W50" s="5">
        <f>+W47+W48+W49</f>
        <v>-12117.519</v>
      </c>
      <c r="X50" s="6">
        <f t="shared" ref="X50:AC50" si="28">+X47+X48+X49</f>
        <v>-5851.1584108682318</v>
      </c>
      <c r="Y50" s="6">
        <f t="shared" si="28"/>
        <v>-15314.845567885352</v>
      </c>
      <c r="Z50" s="6">
        <f t="shared" si="28"/>
        <v>-1269.3088136028928</v>
      </c>
      <c r="AA50" s="6">
        <f t="shared" si="28"/>
        <v>3699.0511716938727</v>
      </c>
      <c r="AB50" s="6">
        <f t="shared" si="28"/>
        <v>9247.9869185802454</v>
      </c>
      <c r="AC50" s="7">
        <f t="shared" si="28"/>
        <v>18676.364929524781</v>
      </c>
      <c r="AE50" s="49">
        <f t="shared" si="4"/>
        <v>1.6356374701382848E-3</v>
      </c>
    </row>
    <row r="52" spans="1:31" ht="15" x14ac:dyDescent="0.25">
      <c r="A52" s="41" t="s">
        <v>59</v>
      </c>
      <c r="B52" s="23">
        <f>+B5+B6+B7+B8+B9+B10+B12+B20+B22+B24+B30+B31+B35+B43+B44</f>
        <v>314671.48100000003</v>
      </c>
      <c r="C52" s="23">
        <f t="shared" ref="C52:AC52" si="29">+C5+C6+C7+C8+C9+C10+C12+C20+C22+C24+C30+C31+C35+C43+C44</f>
        <v>327127.52256772318</v>
      </c>
      <c r="D52" s="23">
        <f t="shared" si="29"/>
        <v>315777.29723733198</v>
      </c>
      <c r="E52" s="23">
        <f t="shared" si="29"/>
        <v>335090.90622367396</v>
      </c>
      <c r="F52" s="23">
        <f t="shared" si="29"/>
        <v>356040.0023020801</v>
      </c>
      <c r="G52" s="23">
        <f t="shared" si="29"/>
        <v>371840.60206394899</v>
      </c>
      <c r="H52" s="23">
        <f t="shared" si="29"/>
        <v>388369.95013943053</v>
      </c>
      <c r="I52" s="23">
        <f t="shared" si="29"/>
        <v>679.08003000000235</v>
      </c>
      <c r="J52" s="23">
        <f t="shared" si="29"/>
        <v>2800.2343810086868</v>
      </c>
      <c r="K52" s="23">
        <f t="shared" si="29"/>
        <v>1866.2088607201624</v>
      </c>
      <c r="L52" s="23">
        <f t="shared" si="29"/>
        <v>3788.2299728038488</v>
      </c>
      <c r="M52" s="23">
        <f t="shared" si="29"/>
        <v>6901.4170020528272</v>
      </c>
      <c r="N52" s="23">
        <f t="shared" si="29"/>
        <v>10224.497117121779</v>
      </c>
      <c r="O52" s="23">
        <f t="shared" si="29"/>
        <v>12735.164607750246</v>
      </c>
      <c r="P52" s="23">
        <f>+P5+P6+P7+P8+P9+P10+P12+P20+P22+P24+P30+P31+P35+P43+P44</f>
        <v>-4452.6750000000002</v>
      </c>
      <c r="Q52" s="23">
        <f t="shared" si="29"/>
        <v>-3848.1133977034856</v>
      </c>
      <c r="R52" s="23">
        <f t="shared" si="29"/>
        <v>-4304.9999646272991</v>
      </c>
      <c r="S52" s="23">
        <f t="shared" si="29"/>
        <v>-3432.1322096889344</v>
      </c>
      <c r="T52" s="23">
        <f t="shared" si="29"/>
        <v>-3794.5395285903505</v>
      </c>
      <c r="U52" s="23">
        <f t="shared" si="29"/>
        <v>-4218.7627434167662</v>
      </c>
      <c r="V52" s="23">
        <f t="shared" si="29"/>
        <v>-4568.8938303201976</v>
      </c>
      <c r="W52" s="23">
        <f t="shared" si="29"/>
        <v>-3457.4079999999999</v>
      </c>
      <c r="X52" s="23">
        <f t="shared" si="29"/>
        <v>-348.98241086822964</v>
      </c>
      <c r="Y52" s="23">
        <f t="shared" si="29"/>
        <v>-2438.7911039071364</v>
      </c>
      <c r="Z52" s="23">
        <f t="shared" si="29"/>
        <v>542.5421863971078</v>
      </c>
      <c r="AA52" s="23">
        <f t="shared" si="29"/>
        <v>3090.7311716938675</v>
      </c>
      <c r="AB52" s="23">
        <f t="shared" si="29"/>
        <v>6055.5679185802437</v>
      </c>
      <c r="AC52" s="23">
        <f t="shared" si="29"/>
        <v>8254.0199295247749</v>
      </c>
    </row>
    <row r="53" spans="1:31" ht="15" x14ac:dyDescent="0.25">
      <c r="A53" s="41" t="s">
        <v>60</v>
      </c>
      <c r="B53" s="23">
        <f>+B4+B18+B21+B25+B26+B27+B33+B34+B41+B45+B46+B29</f>
        <v>431891</v>
      </c>
      <c r="C53" s="23">
        <f t="shared" ref="C53:AC53" si="30">+C4+C18+C21+C25+C26+C27+C33+C34+C41+C45+C46+C29</f>
        <v>420656.06400000001</v>
      </c>
      <c r="D53" s="23">
        <f t="shared" si="30"/>
        <v>454508</v>
      </c>
      <c r="E53" s="23">
        <f t="shared" si="30"/>
        <v>432978.19399999996</v>
      </c>
      <c r="F53" s="23">
        <f t="shared" si="30"/>
        <v>467210.78700000007</v>
      </c>
      <c r="G53" s="23">
        <f t="shared" si="30"/>
        <v>495868.29599999997</v>
      </c>
      <c r="H53" s="23">
        <f>+H4+H18+H21+H25+H26+H27+H33+H34+H41+H45+H46+H29</f>
        <v>554604.90899999999</v>
      </c>
      <c r="I53" s="23">
        <f t="shared" si="30"/>
        <v>-1753.6029999999992</v>
      </c>
      <c r="J53" s="23">
        <f t="shared" si="30"/>
        <v>-2112.0490000000036</v>
      </c>
      <c r="K53" s="23">
        <f t="shared" si="30"/>
        <v>-6657.6650059000003</v>
      </c>
      <c r="L53" s="23">
        <f t="shared" si="30"/>
        <v>1712.5759999999962</v>
      </c>
      <c r="M53" s="23">
        <f t="shared" si="30"/>
        <v>3817.8910000000078</v>
      </c>
      <c r="N53" s="23">
        <f t="shared" si="30"/>
        <v>6509.98</v>
      </c>
      <c r="O53" s="23">
        <f t="shared" si="30"/>
        <v>13741.349000000004</v>
      </c>
      <c r="P53" s="23">
        <f t="shared" si="30"/>
        <v>-6698.2439999999997</v>
      </c>
      <c r="Q53" s="23">
        <f t="shared" si="30"/>
        <v>-3395.8919999999989</v>
      </c>
      <c r="R53" s="23">
        <f t="shared" si="30"/>
        <v>-6218.3894580782162</v>
      </c>
      <c r="S53" s="23">
        <f t="shared" si="30"/>
        <v>-3529.8969999999995</v>
      </c>
      <c r="T53" s="23">
        <f t="shared" si="30"/>
        <v>-3215.0709999999999</v>
      </c>
      <c r="U53" s="23">
        <f t="shared" si="30"/>
        <v>-3323.0610000000001</v>
      </c>
      <c r="V53" s="23">
        <f t="shared" si="30"/>
        <v>-3324.5039999999995</v>
      </c>
      <c r="W53" s="23">
        <f t="shared" si="30"/>
        <v>-8660.1110000000008</v>
      </c>
      <c r="X53" s="23">
        <f t="shared" si="30"/>
        <v>-5502.1760000000031</v>
      </c>
      <c r="Y53" s="23">
        <f t="shared" si="30"/>
        <v>-12876.054463978217</v>
      </c>
      <c r="Z53" s="23">
        <f t="shared" si="30"/>
        <v>-1811.8510000000035</v>
      </c>
      <c r="AA53" s="23">
        <f t="shared" si="30"/>
        <v>608.32000000000789</v>
      </c>
      <c r="AB53" s="23">
        <f t="shared" si="30"/>
        <v>3192.418999999999</v>
      </c>
      <c r="AC53" s="23">
        <f t="shared" si="30"/>
        <v>10422.345000000007</v>
      </c>
    </row>
    <row r="54" spans="1:31" ht="15" x14ac:dyDescent="0.25">
      <c r="A54"/>
      <c r="B54" s="23">
        <f>+B52+B53-B50</f>
        <v>0</v>
      </c>
      <c r="C54" s="23">
        <f t="shared" ref="C54:AC54" si="31">+C52+C53-C50</f>
        <v>0</v>
      </c>
      <c r="D54" s="23">
        <f t="shared" si="31"/>
        <v>0</v>
      </c>
      <c r="E54" s="23">
        <f t="shared" si="31"/>
        <v>0</v>
      </c>
      <c r="F54" s="23">
        <f t="shared" si="31"/>
        <v>0</v>
      </c>
      <c r="G54" s="23">
        <f t="shared" si="31"/>
        <v>0</v>
      </c>
      <c r="H54" s="23">
        <f t="shared" si="31"/>
        <v>0</v>
      </c>
      <c r="I54" s="23">
        <f t="shared" si="31"/>
        <v>0</v>
      </c>
      <c r="J54" s="23">
        <f t="shared" si="31"/>
        <v>9.0949470177292824E-13</v>
      </c>
      <c r="K54" s="23">
        <f t="shared" si="31"/>
        <v>0</v>
      </c>
      <c r="L54" s="23">
        <f t="shared" si="31"/>
        <v>0</v>
      </c>
      <c r="M54" s="23">
        <f t="shared" si="31"/>
        <v>0</v>
      </c>
      <c r="N54" s="23">
        <f t="shared" si="31"/>
        <v>0</v>
      </c>
      <c r="O54" s="23">
        <f t="shared" si="31"/>
        <v>0</v>
      </c>
      <c r="P54" s="23">
        <f t="shared" si="31"/>
        <v>0</v>
      </c>
      <c r="Q54" s="23">
        <f t="shared" si="31"/>
        <v>0</v>
      </c>
      <c r="R54" s="23">
        <f t="shared" si="31"/>
        <v>0</v>
      </c>
      <c r="S54" s="23">
        <f t="shared" si="31"/>
        <v>0</v>
      </c>
      <c r="T54" s="23">
        <f t="shared" si="31"/>
        <v>0</v>
      </c>
      <c r="U54" s="23">
        <f t="shared" si="31"/>
        <v>0</v>
      </c>
      <c r="V54" s="23">
        <f t="shared" si="31"/>
        <v>0</v>
      </c>
      <c r="W54" s="23">
        <f t="shared" si="31"/>
        <v>0</v>
      </c>
      <c r="X54" s="23">
        <f t="shared" si="31"/>
        <v>0</v>
      </c>
      <c r="Y54" s="23">
        <f t="shared" si="31"/>
        <v>0</v>
      </c>
      <c r="Z54" s="23">
        <f t="shared" si="31"/>
        <v>-2.9558577807620168E-12</v>
      </c>
      <c r="AA54" s="23">
        <f t="shared" si="31"/>
        <v>0</v>
      </c>
      <c r="AB54" s="23">
        <f t="shared" si="31"/>
        <v>0</v>
      </c>
      <c r="AC54" s="23">
        <f t="shared" si="31"/>
        <v>0</v>
      </c>
    </row>
    <row r="55" spans="1:31" s="23" customFormat="1" ht="15" x14ac:dyDescent="0.25">
      <c r="A55" s="25"/>
      <c r="P55" s="35"/>
      <c r="R55" s="35"/>
    </row>
    <row r="56" spans="1:31" ht="15" x14ac:dyDescent="0.25">
      <c r="A56" t="s">
        <v>61</v>
      </c>
      <c r="B56" s="23">
        <v>441214</v>
      </c>
      <c r="C56" s="23">
        <v>430116.76900000009</v>
      </c>
      <c r="D56" s="23">
        <v>464117</v>
      </c>
      <c r="E56" s="23">
        <v>444303.63499999989</v>
      </c>
      <c r="F56" s="23">
        <v>476823.61199999996</v>
      </c>
      <c r="G56" s="23">
        <v>505883.03199999995</v>
      </c>
      <c r="H56" s="23">
        <v>565065.43400000001</v>
      </c>
      <c r="I56" s="23">
        <v>-6855.6739999999409</v>
      </c>
      <c r="J56" s="23">
        <v>-1177.1339999999345</v>
      </c>
      <c r="K56" s="23">
        <v>-3958</v>
      </c>
      <c r="L56" s="23">
        <v>2858.6939999998408</v>
      </c>
      <c r="M56" s="23">
        <v>4986.1439999998875</v>
      </c>
      <c r="N56" s="23">
        <v>7702.6309999999648</v>
      </c>
      <c r="O56" s="23">
        <v>14955.225999999941</v>
      </c>
      <c r="P56" s="23">
        <v>-3435</v>
      </c>
      <c r="Q56" s="23">
        <v>-3385.0389999999998</v>
      </c>
      <c r="R56" s="23">
        <v>-4285</v>
      </c>
      <c r="S56" s="23">
        <v>-3524.4269999999997</v>
      </c>
      <c r="T56" s="23">
        <v>-3209.5709999999999</v>
      </c>
      <c r="U56" s="23">
        <v>-3317.5610000000006</v>
      </c>
      <c r="V56" s="23">
        <v>-3319.0039999999999</v>
      </c>
      <c r="W56" s="35">
        <v>-10290.673999999941</v>
      </c>
      <c r="X56" s="35">
        <v>-4562.1729999999343</v>
      </c>
      <c r="Y56" s="35">
        <v>-8243</v>
      </c>
      <c r="Z56" s="35">
        <v>-665.73300000015888</v>
      </c>
      <c r="AA56" s="35">
        <v>1776.5729999998875</v>
      </c>
      <c r="AB56" s="35">
        <v>4385.0699999999642</v>
      </c>
      <c r="AC56" s="35">
        <v>11636.22199999994</v>
      </c>
    </row>
    <row r="57" spans="1:31" ht="15" x14ac:dyDescent="0.25">
      <c r="A57"/>
      <c r="B57" s="23">
        <f>+B53-B46</f>
        <v>443293</v>
      </c>
      <c r="C57" s="23">
        <f t="shared" ref="C57:AC57" si="32">+C53-C46</f>
        <v>428716.91800000001</v>
      </c>
      <c r="D57" s="23">
        <f t="shared" si="32"/>
        <v>466145</v>
      </c>
      <c r="E57" s="23">
        <f t="shared" si="32"/>
        <v>443289.87099999998</v>
      </c>
      <c r="F57" s="23">
        <f t="shared" si="32"/>
        <v>475787.35300000006</v>
      </c>
      <c r="G57" s="23">
        <f t="shared" si="32"/>
        <v>504823.12099999998</v>
      </c>
      <c r="H57" s="23">
        <f t="shared" si="32"/>
        <v>563985.82900000003</v>
      </c>
      <c r="I57" s="23">
        <f t="shared" si="32"/>
        <v>-13711.34799999994</v>
      </c>
      <c r="J57" s="23">
        <f t="shared" si="32"/>
        <v>-2112.0490000000036</v>
      </c>
      <c r="K57" s="23">
        <f t="shared" si="32"/>
        <v>-6650.6650059000003</v>
      </c>
      <c r="L57" s="23">
        <f t="shared" si="32"/>
        <v>1712.5759999999962</v>
      </c>
      <c r="M57" s="23">
        <f t="shared" si="32"/>
        <v>3817.8910000000078</v>
      </c>
      <c r="N57" s="23">
        <f t="shared" si="32"/>
        <v>6509.98</v>
      </c>
      <c r="O57" s="23">
        <f t="shared" si="32"/>
        <v>13741.349000000004</v>
      </c>
      <c r="P57" s="23">
        <f t="shared" si="32"/>
        <v>-6870</v>
      </c>
      <c r="Q57" s="23">
        <f t="shared" si="32"/>
        <v>-3390.126999999999</v>
      </c>
      <c r="R57" s="23">
        <f t="shared" si="32"/>
        <v>-6218.3894580782162</v>
      </c>
      <c r="S57" s="23">
        <f t="shared" si="32"/>
        <v>-3524.4269999999997</v>
      </c>
      <c r="T57" s="23">
        <f t="shared" si="32"/>
        <v>-3209.5709999999999</v>
      </c>
      <c r="U57" s="23">
        <f t="shared" si="32"/>
        <v>-3317.5610000000001</v>
      </c>
      <c r="V57" s="23">
        <f t="shared" si="32"/>
        <v>-3319.0039999999995</v>
      </c>
      <c r="W57" s="23">
        <f t="shared" si="32"/>
        <v>-20581.34799999994</v>
      </c>
      <c r="X57" s="23">
        <f t="shared" si="32"/>
        <v>-5502.1760000000031</v>
      </c>
      <c r="Y57" s="23">
        <f t="shared" si="32"/>
        <v>-12869.054463978217</v>
      </c>
      <c r="Z57" s="23">
        <f t="shared" si="32"/>
        <v>-1811.8510000000035</v>
      </c>
      <c r="AA57" s="23">
        <f t="shared" si="32"/>
        <v>608.32000000000789</v>
      </c>
      <c r="AB57" s="23">
        <f t="shared" si="32"/>
        <v>3192.418999999999</v>
      </c>
      <c r="AC57" s="23">
        <f t="shared" si="32"/>
        <v>10422.345000000007</v>
      </c>
    </row>
    <row r="58" spans="1:31" ht="15" x14ac:dyDescent="0.25">
      <c r="B58" s="23">
        <f>+B56-B57</f>
        <v>-2079</v>
      </c>
      <c r="C58" s="23">
        <f t="shared" ref="C58:AC58" si="33">+C56-C57</f>
        <v>1399.8510000000824</v>
      </c>
      <c r="D58" s="23">
        <f t="shared" si="33"/>
        <v>-2028</v>
      </c>
      <c r="E58" s="23">
        <f t="shared" si="33"/>
        <v>1013.7639999999083</v>
      </c>
      <c r="F58" s="23">
        <f t="shared" si="33"/>
        <v>1036.2589999999036</v>
      </c>
      <c r="G58" s="23">
        <f t="shared" si="33"/>
        <v>1059.9109999999637</v>
      </c>
      <c r="H58" s="23">
        <f t="shared" si="33"/>
        <v>1079.6049999999814</v>
      </c>
      <c r="I58" s="23">
        <f t="shared" si="33"/>
        <v>6855.6739999999991</v>
      </c>
      <c r="J58" s="23">
        <f t="shared" si="33"/>
        <v>934.91500000006909</v>
      </c>
      <c r="K58" s="23">
        <f t="shared" si="33"/>
        <v>2692.6650059000003</v>
      </c>
      <c r="L58" s="23">
        <f t="shared" si="33"/>
        <v>1146.1179999998446</v>
      </c>
      <c r="M58" s="23">
        <f t="shared" si="33"/>
        <v>1168.2529999998796</v>
      </c>
      <c r="N58" s="23">
        <f t="shared" si="33"/>
        <v>1192.6509999999653</v>
      </c>
      <c r="O58" s="23">
        <f t="shared" si="33"/>
        <v>1213.8769999999367</v>
      </c>
      <c r="P58" s="23">
        <f t="shared" si="33"/>
        <v>3435</v>
      </c>
      <c r="Q58" s="23">
        <f t="shared" si="33"/>
        <v>5.0879999999992833</v>
      </c>
      <c r="R58" s="23">
        <f t="shared" si="33"/>
        <v>1933.3894580782162</v>
      </c>
      <c r="S58" s="23">
        <f t="shared" si="33"/>
        <v>0</v>
      </c>
      <c r="T58" s="23">
        <f t="shared" si="33"/>
        <v>0</v>
      </c>
      <c r="U58" s="23">
        <f t="shared" si="33"/>
        <v>0</v>
      </c>
      <c r="V58" s="23">
        <f t="shared" si="33"/>
        <v>0</v>
      </c>
      <c r="W58" s="23">
        <f t="shared" si="33"/>
        <v>10290.673999999999</v>
      </c>
      <c r="X58" s="23">
        <f t="shared" si="33"/>
        <v>940.00300000006882</v>
      </c>
      <c r="Y58" s="23">
        <f t="shared" si="33"/>
        <v>4626.0544639782165</v>
      </c>
      <c r="Z58" s="23">
        <f t="shared" si="33"/>
        <v>1146.1179999998446</v>
      </c>
      <c r="AA58" s="23">
        <f t="shared" si="33"/>
        <v>1168.2529999998796</v>
      </c>
      <c r="AB58" s="23">
        <f t="shared" si="33"/>
        <v>1192.6509999999653</v>
      </c>
      <c r="AC58" s="23">
        <f t="shared" si="33"/>
        <v>1213.8769999999331</v>
      </c>
    </row>
    <row r="59" spans="1:31" ht="15" x14ac:dyDescent="0.25">
      <c r="C59" s="34"/>
      <c r="D59" s="34"/>
      <c r="E59" s="34"/>
      <c r="F59" s="34"/>
      <c r="G59" s="34"/>
      <c r="H59" s="34"/>
      <c r="I59" s="35"/>
      <c r="J59" s="34"/>
      <c r="K59" s="34"/>
      <c r="L59" s="34"/>
      <c r="M59" s="34"/>
      <c r="N59" s="34"/>
      <c r="O59" s="34"/>
      <c r="P59" s="35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</row>
    <row r="60" spans="1:31" ht="15" x14ac:dyDescent="0.25">
      <c r="A60" s="42" t="s">
        <v>62</v>
      </c>
      <c r="B60" s="23">
        <v>431891.19900000002</v>
      </c>
      <c r="C60" s="23"/>
      <c r="D60" s="23"/>
      <c r="E60" s="23"/>
      <c r="F60" s="23"/>
      <c r="G60" s="23"/>
      <c r="H60" s="23"/>
      <c r="I60" s="23">
        <v>-1753.6030000000001</v>
      </c>
      <c r="J60" s="23"/>
      <c r="K60" s="23"/>
      <c r="L60" s="23"/>
      <c r="M60" s="23"/>
      <c r="N60" s="23"/>
      <c r="O60" s="23"/>
      <c r="P60" s="23">
        <v>-6698.2439999999997</v>
      </c>
      <c r="Q60" s="23"/>
      <c r="R60" s="23"/>
      <c r="S60" s="23"/>
      <c r="T60" s="23"/>
      <c r="U60" s="23"/>
      <c r="V60" s="23"/>
      <c r="W60" s="23">
        <v>-8660.1110000000008</v>
      </c>
      <c r="X60" s="23"/>
      <c r="Y60" s="23"/>
      <c r="Z60" s="23"/>
      <c r="AA60" s="23"/>
      <c r="AB60" s="23"/>
      <c r="AC60" s="23"/>
    </row>
    <row r="61" spans="1:31" ht="15" x14ac:dyDescent="0.25">
      <c r="B61" s="23">
        <f>+B60-B53</f>
        <v>0.19900000002235174</v>
      </c>
      <c r="C61" s="35"/>
      <c r="D61" s="35"/>
      <c r="E61" s="35"/>
      <c r="F61" s="35"/>
      <c r="G61" s="35"/>
      <c r="H61" s="35"/>
      <c r="I61" s="23">
        <f>+I60-I53</f>
        <v>0</v>
      </c>
      <c r="J61" s="35"/>
      <c r="K61" s="35"/>
      <c r="L61" s="35"/>
      <c r="M61" s="35"/>
      <c r="N61" s="35"/>
      <c r="O61" s="35"/>
      <c r="P61" s="23">
        <f>+P60-P53</f>
        <v>0</v>
      </c>
      <c r="Q61" s="35"/>
      <c r="R61" s="35"/>
      <c r="S61" s="35"/>
      <c r="T61" s="35"/>
      <c r="U61" s="35"/>
      <c r="V61" s="35"/>
      <c r="W61" s="23">
        <f>+W60-W53</f>
        <v>0</v>
      </c>
      <c r="X61" s="35"/>
      <c r="Y61" s="35"/>
      <c r="Z61" s="35"/>
      <c r="AA61" s="35"/>
      <c r="AB61" s="35"/>
      <c r="AC61" s="23"/>
    </row>
    <row r="62" spans="1:31" ht="15" x14ac:dyDescent="0.25">
      <c r="B62" s="23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23"/>
    </row>
    <row r="63" spans="1:31" ht="15" x14ac:dyDescent="0.25">
      <c r="A63" s="42" t="s">
        <v>63</v>
      </c>
      <c r="B63" s="23"/>
      <c r="C63" s="23"/>
      <c r="D63" s="23">
        <v>454508</v>
      </c>
      <c r="E63" s="35"/>
      <c r="F63" s="35"/>
      <c r="G63" s="35"/>
      <c r="H63" s="35"/>
      <c r="I63" s="23"/>
      <c r="J63" s="35"/>
      <c r="K63" s="35">
        <v>-6658</v>
      </c>
      <c r="L63" s="35"/>
      <c r="M63" s="35"/>
      <c r="N63" s="35"/>
      <c r="O63" s="35"/>
      <c r="P63" s="35"/>
      <c r="Q63" s="35"/>
      <c r="R63" s="35">
        <f>+Y63-K63</f>
        <v>-6218</v>
      </c>
      <c r="S63" s="35"/>
      <c r="T63" s="35"/>
      <c r="U63" s="35"/>
      <c r="V63" s="35"/>
      <c r="W63" s="35"/>
      <c r="X63" s="35"/>
      <c r="Y63" s="35">
        <v>-12876</v>
      </c>
      <c r="Z63" s="35"/>
      <c r="AA63" s="35"/>
      <c r="AB63" s="35"/>
      <c r="AC63" s="23"/>
    </row>
    <row r="64" spans="1:31" x14ac:dyDescent="0.3">
      <c r="B64" s="23"/>
      <c r="C64" s="23"/>
      <c r="D64" s="23">
        <f>+D63-D53</f>
        <v>0</v>
      </c>
      <c r="E64" s="35"/>
      <c r="F64" s="35"/>
      <c r="G64" s="35"/>
      <c r="H64" s="35"/>
      <c r="I64" s="35"/>
      <c r="J64" s="35"/>
      <c r="K64" s="23">
        <f>+K63-K53</f>
        <v>-0.33499409999967611</v>
      </c>
      <c r="L64" s="35"/>
      <c r="M64" s="35"/>
      <c r="N64" s="35"/>
      <c r="O64" s="35"/>
      <c r="P64" s="35"/>
      <c r="Q64" s="35"/>
      <c r="R64" s="23">
        <f>+R63-R53</f>
        <v>0.38945807821619383</v>
      </c>
      <c r="S64" s="35"/>
      <c r="T64" s="35"/>
      <c r="U64" s="35"/>
      <c r="V64" s="35"/>
      <c r="W64" s="35"/>
      <c r="X64" s="35"/>
      <c r="Y64" s="23">
        <f>+Y63-Y53</f>
        <v>5.4463978216517717E-2</v>
      </c>
      <c r="Z64" s="35"/>
      <c r="AA64" s="35"/>
      <c r="AB64" s="35"/>
      <c r="AC64" s="23"/>
    </row>
    <row r="65" spans="2:29" x14ac:dyDescent="0.3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2:29" x14ac:dyDescent="0.3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2:29" x14ac:dyDescent="0.3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</sheetData>
  <mergeCells count="4">
    <mergeCell ref="B1:H1"/>
    <mergeCell ref="I1:O1"/>
    <mergeCell ref="P1:V1"/>
    <mergeCell ref="W1:AC1"/>
  </mergeCells>
  <pageMargins left="0.70866141732283472" right="0.70866141732283472" top="0.74803149606299213" bottom="0.74803149606299213" header="0.31496062992125984" footer="0.31496062992125984"/>
  <pageSetup paperSize="9" scale="50" fitToWidth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Hoja1!Títulos_a_imprimir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Palmero Mangado, Virginia</dc:creator>
  <cp:lastModifiedBy>Ingelmo de la Mata, Joaquín</cp:lastModifiedBy>
  <cp:lastPrinted>2015-11-16T14:09:27Z</cp:lastPrinted>
  <dcterms:created xsi:type="dcterms:W3CDTF">2015-08-31T08:09:13Z</dcterms:created>
  <dcterms:modified xsi:type="dcterms:W3CDTF">2015-11-17T11:10:14Z</dcterms:modified>
</cp:coreProperties>
</file>