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0" yWindow="0" windowWidth="19320" windowHeight="7755" tabRatio="637" activeTab="2"/>
  </bookViews>
  <sheets>
    <sheet name="Balance " sheetId="1" r:id="rId1"/>
    <sheet name="P&amp;L" sheetId="3" r:id="rId2"/>
    <sheet name="SORIE" sheetId="8" r:id="rId3"/>
    <sheet name="ECPN" sheetId="23" r:id="rId4"/>
    <sheet name="FLUJOS_MEMORIA" sheetId="22" r:id="rId5"/>
  </sheets>
  <definedNames>
    <definedName name="_xlnm.Print_Area" localSheetId="0">'Balance '!$A$1:$J$52</definedName>
    <definedName name="_xlnm.Print_Area" localSheetId="3">ECPN!$A$1:$M$30</definedName>
    <definedName name="_xlnm.Print_Area" localSheetId="4">FLUJOS_MEMORIA!$A$1:$E$66</definedName>
    <definedName name="_xlnm.Print_Area" localSheetId="1">'P&amp;L'!$A$1:$E$57</definedName>
    <definedName name="_xlnm.Print_Area" localSheetId="2">SORIE!$A$1:$I$23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/>
</workbook>
</file>

<file path=xl/calcChain.xml><?xml version="1.0" encoding="utf-8"?>
<calcChain xmlns="http://schemas.openxmlformats.org/spreadsheetml/2006/main">
  <c r="D10" i="1" l="1"/>
  <c r="E10" i="1"/>
  <c r="D17" i="1" l="1"/>
  <c r="D15" i="1" s="1"/>
  <c r="E42" i="22" l="1"/>
  <c r="E41" i="22"/>
  <c r="E30" i="22"/>
  <c r="I18" i="8" l="1"/>
  <c r="H18" i="8"/>
  <c r="I14" i="8"/>
  <c r="H14" i="8"/>
  <c r="L26" i="23"/>
  <c r="L16" i="23"/>
  <c r="D69" i="22" l="1"/>
  <c r="D31" i="22"/>
  <c r="D12" i="22"/>
  <c r="D24" i="22"/>
  <c r="I37" i="1" l="1"/>
  <c r="I33" i="1" s="1"/>
  <c r="D36" i="3" l="1"/>
  <c r="I12" i="1"/>
  <c r="F34" i="23" l="1"/>
  <c r="H21" i="8" l="1"/>
  <c r="M17" i="8" l="1"/>
  <c r="D31" i="3" l="1"/>
  <c r="E63" i="22" l="1"/>
  <c r="E62" i="22"/>
  <c r="E57" i="22"/>
  <c r="E56" i="22"/>
  <c r="E54" i="22"/>
  <c r="E51" i="22"/>
  <c r="E44" i="22"/>
  <c r="E46" i="22"/>
  <c r="E47" i="22"/>
  <c r="E40" i="22"/>
  <c r="E39" i="22"/>
  <c r="E38" i="22"/>
  <c r="E32" i="22"/>
  <c r="E33" i="22"/>
  <c r="E29" i="22"/>
  <c r="E28" i="22"/>
  <c r="E27" i="22"/>
  <c r="E26" i="22"/>
  <c r="E25" i="22"/>
  <c r="E21" i="22"/>
  <c r="E20" i="22"/>
  <c r="E19" i="22"/>
  <c r="E18" i="22"/>
  <c r="E17" i="22"/>
  <c r="E16" i="22"/>
  <c r="E15" i="22"/>
  <c r="E14" i="22"/>
  <c r="E13" i="22"/>
  <c r="E69" i="22" l="1"/>
  <c r="L34" i="23"/>
  <c r="K34" i="23"/>
  <c r="D34" i="23"/>
  <c r="D46" i="3" l="1"/>
  <c r="M13" i="23"/>
  <c r="I20" i="23"/>
  <c r="I25" i="23"/>
  <c r="H20" i="23"/>
  <c r="G20" i="23"/>
  <c r="F20" i="23"/>
  <c r="D20" i="23"/>
  <c r="J19" i="23"/>
  <c r="J18" i="23"/>
  <c r="M18" i="23" s="1"/>
  <c r="J16" i="23"/>
  <c r="J14" i="23"/>
  <c r="M14" i="23" s="1"/>
  <c r="L19" i="23"/>
  <c r="K19" i="23"/>
  <c r="K20" i="23" s="1"/>
  <c r="I21" i="8"/>
  <c r="E55" i="3"/>
  <c r="E54" i="3"/>
  <c r="E51" i="3"/>
  <c r="E49" i="3"/>
  <c r="E47" i="3"/>
  <c r="E46" i="3" s="1"/>
  <c r="E45" i="3"/>
  <c r="E44" i="3"/>
  <c r="E43" i="3"/>
  <c r="E42" i="3"/>
  <c r="E41" i="3"/>
  <c r="E37" i="3"/>
  <c r="E35" i="3"/>
  <c r="E34" i="3"/>
  <c r="E33" i="3" s="1"/>
  <c r="E32" i="3"/>
  <c r="E31" i="3"/>
  <c r="E30" i="3"/>
  <c r="E29" i="3"/>
  <c r="E28" i="3"/>
  <c r="E26" i="3"/>
  <c r="E25" i="3"/>
  <c r="E23" i="3"/>
  <c r="E22" i="3"/>
  <c r="E20" i="3"/>
  <c r="E19" i="3"/>
  <c r="E18" i="3"/>
  <c r="E17" i="3"/>
  <c r="E15" i="3"/>
  <c r="E14" i="3"/>
  <c r="E13" i="3"/>
  <c r="E11" i="3"/>
  <c r="E10" i="3"/>
  <c r="E12" i="3" l="1"/>
  <c r="G26" i="23"/>
  <c r="G27" i="23" s="1"/>
  <c r="L20" i="23"/>
  <c r="M16" i="23"/>
  <c r="M19" i="23"/>
  <c r="J20" i="23"/>
  <c r="H26" i="23"/>
  <c r="D37" i="1"/>
  <c r="D42" i="1"/>
  <c r="D34" i="1"/>
  <c r="M20" i="23" l="1"/>
  <c r="D32" i="1"/>
  <c r="F26" i="23"/>
  <c r="J47" i="1"/>
  <c r="J29" i="1"/>
  <c r="J13" i="1"/>
  <c r="J46" i="1"/>
  <c r="J45" i="1"/>
  <c r="J44" i="1"/>
  <c r="J43" i="1"/>
  <c r="J42" i="1"/>
  <c r="J41" i="1"/>
  <c r="J39" i="1"/>
  <c r="J38" i="1"/>
  <c r="J37" i="1"/>
  <c r="J35" i="1"/>
  <c r="J34" i="1"/>
  <c r="J32" i="1"/>
  <c r="J28" i="1"/>
  <c r="J27" i="1"/>
  <c r="J26" i="1"/>
  <c r="J25" i="1"/>
  <c r="J24" i="1"/>
  <c r="J22" i="1"/>
  <c r="J15" i="1"/>
  <c r="J14" i="1"/>
  <c r="J12" i="1"/>
  <c r="J11" i="1"/>
  <c r="E47" i="1"/>
  <c r="E46" i="1"/>
  <c r="E45" i="1"/>
  <c r="E43" i="1"/>
  <c r="E40" i="1"/>
  <c r="E39" i="1"/>
  <c r="E38" i="1"/>
  <c r="E36" i="1"/>
  <c r="E35" i="1"/>
  <c r="E34" i="1"/>
  <c r="E33" i="1"/>
  <c r="E20" i="1"/>
  <c r="E19" i="1"/>
  <c r="E17" i="1"/>
  <c r="E16" i="1"/>
  <c r="E14" i="1"/>
  <c r="J33" i="1" l="1"/>
  <c r="J23" i="1"/>
  <c r="J40" i="1"/>
  <c r="E37" i="1"/>
  <c r="J31" i="1" l="1"/>
  <c r="E52" i="22"/>
  <c r="E50" i="22"/>
  <c r="E43" i="22"/>
  <c r="E37" i="22"/>
  <c r="E31" i="22"/>
  <c r="E24" i="22"/>
  <c r="E12" i="22"/>
  <c r="E40" i="3"/>
  <c r="E48" i="3" s="1"/>
  <c r="E27" i="3"/>
  <c r="E24" i="3"/>
  <c r="E21" i="3"/>
  <c r="E16" i="3"/>
  <c r="I40" i="1"/>
  <c r="I23" i="1"/>
  <c r="I21" i="1" s="1"/>
  <c r="D43" i="22"/>
  <c r="E38" i="3" l="1"/>
  <c r="E50" i="3" s="1"/>
  <c r="E52" i="3" s="1"/>
  <c r="E53" i="3" s="1"/>
  <c r="I10" i="8" s="1"/>
  <c r="I19" i="8" s="1"/>
  <c r="I20" i="8" s="1"/>
  <c r="E49" i="22"/>
  <c r="E36" i="22"/>
  <c r="I31" i="1"/>
  <c r="D9" i="1"/>
  <c r="D52" i="22"/>
  <c r="D50" i="22"/>
  <c r="D37" i="22"/>
  <c r="E11" i="22" l="1"/>
  <c r="E10" i="22" s="1"/>
  <c r="E60" i="22"/>
  <c r="E70" i="22" s="1"/>
  <c r="D48" i="1"/>
  <c r="D49" i="22"/>
  <c r="D36" i="22"/>
  <c r="J25" i="23" l="1"/>
  <c r="M25" i="23" s="1"/>
  <c r="J26" i="23"/>
  <c r="M26" i="23" s="1"/>
  <c r="M24" i="23"/>
  <c r="J23" i="23"/>
  <c r="M23" i="23" s="1"/>
  <c r="L21" i="23" l="1"/>
  <c r="L27" i="23" s="1"/>
  <c r="L35" i="23" s="1"/>
  <c r="H27" i="23"/>
  <c r="F27" i="23"/>
  <c r="D27" i="23"/>
  <c r="D35" i="23" s="1"/>
  <c r="F35" i="23" l="1"/>
  <c r="G34" i="23"/>
  <c r="K21" i="23" l="1"/>
  <c r="K27" i="23" l="1"/>
  <c r="K35" i="23" l="1"/>
  <c r="D40" i="3" l="1"/>
  <c r="D33" i="3"/>
  <c r="D27" i="3"/>
  <c r="D24" i="3"/>
  <c r="D21" i="3"/>
  <c r="D16" i="3"/>
  <c r="D12" i="3"/>
  <c r="J21" i="1"/>
  <c r="J10" i="1"/>
  <c r="J9" i="1" s="1"/>
  <c r="D38" i="3" l="1"/>
  <c r="J48" i="1"/>
  <c r="D48" i="3"/>
  <c r="E42" i="1"/>
  <c r="E15" i="1"/>
  <c r="E9" i="1" l="1"/>
  <c r="D50" i="3"/>
  <c r="D11" i="22" s="1"/>
  <c r="E32" i="1"/>
  <c r="E48" i="1" l="1"/>
  <c r="E58" i="1" s="1"/>
  <c r="D52" i="3"/>
  <c r="D53" i="3" s="1"/>
  <c r="D10" i="22"/>
  <c r="D60" i="22" s="1"/>
  <c r="D70" i="22" s="1"/>
  <c r="H10" i="8" l="1"/>
  <c r="H19" i="8" s="1"/>
  <c r="H20" i="8" s="1"/>
  <c r="D54" i="3"/>
  <c r="I13" i="1" l="1"/>
  <c r="I21" i="23"/>
  <c r="I27" i="23" l="1"/>
  <c r="J21" i="23"/>
  <c r="I34" i="23"/>
  <c r="I10" i="1"/>
  <c r="J34" i="23" l="1"/>
  <c r="I9" i="1"/>
  <c r="I48" i="1" s="1"/>
  <c r="D58" i="1" s="1"/>
  <c r="J27" i="23"/>
  <c r="M21" i="23"/>
  <c r="I35" i="23"/>
  <c r="J35" i="23" l="1"/>
  <c r="M27" i="23"/>
</calcChain>
</file>

<file path=xl/sharedStrings.xml><?xml version="1.0" encoding="utf-8"?>
<sst xmlns="http://schemas.openxmlformats.org/spreadsheetml/2006/main" count="333" uniqueCount="240">
  <si>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</si>
  <si>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</si>
  <si>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</si>
  <si>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</si>
  <si>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</si>
  <si>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</si>
  <si>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</si>
  <si>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</si>
  <si>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</si>
  <si>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</si>
  <si>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</si>
  <si>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</si>
  <si>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</si>
  <si>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</si>
  <si>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</si>
  <si>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</si>
  <si>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</si>
  <si>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</si>
  <si>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</si>
  <si>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</si>
  <si>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</si>
  <si>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</si>
  <si>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</si>
  <si>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</si>
  <si>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</si>
  <si>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</si>
  <si>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</si>
  <si>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</si>
  <si>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</si>
  <si>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Ingresos financieros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</si>
  <si>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</si>
  <si>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</si>
  <si>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</si>
  <si>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</si>
  <si>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</si>
  <si>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Prima de</t>
  </si>
  <si>
    <t>Resultado</t>
  </si>
  <si>
    <t>Resultado del ejercicio antes de impuestos</t>
  </si>
  <si>
    <t>Efectivo o equivalentes al comienzo del ejercicio</t>
  </si>
  <si>
    <t>Efectivo o equivalentes al final del ejercicio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</si>
  <si>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</si>
  <si>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</si>
  <si>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</si>
  <si>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</si>
  <si>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</si>
  <si>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</si>
  <si>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</si>
  <si>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</si>
  <si>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</si>
  <si>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</si>
  <si>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</si>
  <si>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</si>
  <si>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</si>
  <si>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</si>
  <si>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</si>
  <si>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</si>
  <si>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</si>
  <si>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</si>
  <si>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</si>
  <si>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TOTAL INGRESOS Y GASTOS RECONOCIDOS</t>
  </si>
  <si>
    <t>Total ingresos y gastos reconocidos</t>
  </si>
  <si>
    <t>Total</t>
  </si>
  <si>
    <t>FLUJOS DE EFECTIVO DE LAS ACTIVIDADES DE EXPLOTACIÓN:</t>
  </si>
  <si>
    <t>Correcciones valorativas por deterioro</t>
  </si>
  <si>
    <t>Variación de provisiones</t>
  </si>
  <si>
    <t>Resultados por bajas y enajenaciones de inmovilizado</t>
  </si>
  <si>
    <t>Cambios en el capital corriente-</t>
  </si>
  <si>
    <t>Deudores y otras cuentas a cobrar</t>
  </si>
  <si>
    <t>Otros activos corrientes</t>
  </si>
  <si>
    <t>Acreedores y otras cuentas a pagar</t>
  </si>
  <si>
    <t>Otros activos y pasivos no corrientes</t>
  </si>
  <si>
    <t>Otros flujos de efectivo de las actividades de explotación-</t>
  </si>
  <si>
    <t>Pagos de intereses</t>
  </si>
  <si>
    <t>Cobros de intereses</t>
  </si>
  <si>
    <t>Pagos por inversiones-</t>
  </si>
  <si>
    <t>Cobros por desinversiones-</t>
  </si>
  <si>
    <t>Cobros (pagos) por Impuesto sobre Beneficios</t>
  </si>
  <si>
    <t>FLUJOS DE EFECTIVO DE LAS ACTIVIDADES DE FINANCIACIÓN:</t>
  </si>
  <si>
    <t>Cobros y pagos por instrumentos de patrimonio-</t>
  </si>
  <si>
    <t>EFECTO DE LAS VARIACIONES DE LOS TIPOS DE CAMBIO</t>
  </si>
  <si>
    <t>AUMENTO/DISMINUCIÓN NETA DEL EFECTIVO O EQUIVALENTES</t>
  </si>
  <si>
    <t>Nota 18.1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</si>
  <si>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</si>
  <si>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</si>
  <si>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</si>
  <si>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</si>
  <si>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</si>
  <si>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</si>
  <si>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</si>
  <si>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</si>
  <si>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Subvenciones, donaciones y legados recibidos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</si>
  <si>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</si>
  <si>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</si>
  <si>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</si>
  <si>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</si>
  <si>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</si>
  <si>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</si>
  <si>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</si>
  <si>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</si>
  <si>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</si>
  <si>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</si>
  <si>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</si>
  <si>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</si>
  <si>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</si>
  <si>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</si>
  <si>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</si>
  <si>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</si>
  <si>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</si>
  <si>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</si>
  <si>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</si>
  <si>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</si>
  <si>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</si>
  <si>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 xml:space="preserve">  Subvenciones, donaciones y legados recibidos</t>
  </si>
  <si>
    <t>TOTAL INGRESOS Y GASTOS IMPUTADOS DIRECTAMENTE EN EL PATRIMONIO NETO</t>
  </si>
  <si>
    <t>Ingresos y gastos imputados directamente al patrimonio neto consolidado:</t>
  </si>
  <si>
    <t>Transferencias a la cuenta de pérdidas y ganancias consolidada:</t>
  </si>
  <si>
    <t>TOTAL TRANSFERENCIAS A LA CUENTA DE PÉRDIDAS Y GANANCIAS CONSOLIDADA</t>
  </si>
  <si>
    <t>Atribuido a los socios externos</t>
  </si>
  <si>
    <t>B) ESTADO TOTAL DE CAMBIOS EN EL PATRIMONIO NETO CONSOLIDADO</t>
  </si>
  <si>
    <t>Reservas de</t>
  </si>
  <si>
    <t>Subvenciones,</t>
  </si>
  <si>
    <t>Socios</t>
  </si>
  <si>
    <t>Patrimonio</t>
  </si>
  <si>
    <t>Neto</t>
  </si>
  <si>
    <t>Ajustes del resultado-</t>
  </si>
  <si>
    <t>Imputación de subvenciones</t>
  </si>
  <si>
    <t>Nota 15</t>
  </si>
  <si>
    <t>Otros ingresos y gastos</t>
  </si>
  <si>
    <t>Otros pasivos corrientes</t>
  </si>
  <si>
    <t>Empresas del Grupo y asociadas</t>
  </si>
  <si>
    <t>Emisión-</t>
  </si>
  <si>
    <t xml:space="preserve">  Deudas con entidades de crédito</t>
  </si>
  <si>
    <t>Devolución y amortización de-</t>
  </si>
  <si>
    <t>Pago por dividendos y remuneraciones de otros instrumentos de patrimonio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</si>
  <si>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</si>
  <si>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</si>
  <si>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</si>
  <si>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</si>
  <si>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</si>
  <si>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</si>
  <si>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</si>
  <si>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</si>
  <si>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</si>
  <si>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</si>
  <si>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</si>
  <si>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</si>
  <si>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</si>
  <si>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</si>
  <si>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</si>
  <si>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</si>
  <si>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</si>
  <si>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</si>
  <si>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</si>
  <si>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Fondos</t>
  </si>
  <si>
    <t>RESULTADO DE LA CUENTA DE PÉRDIDAS Y GANANCIAS CONSOLIDADA</t>
  </si>
  <si>
    <t xml:space="preserve">  Aplicación del resultado del ejercicio anterior</t>
  </si>
  <si>
    <t xml:space="preserve">  Otros movimientos</t>
  </si>
  <si>
    <t>emisión</t>
  </si>
  <si>
    <t>Atribuido a la Sociedad dominante</t>
  </si>
  <si>
    <t xml:space="preserve">  Distribución de dividendos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</si>
  <si>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</si>
  <si>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</si>
  <si>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</si>
  <si>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</si>
  <si>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</si>
  <si>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</si>
  <si>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</si>
  <si>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</si>
  <si>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</si>
  <si>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</si>
  <si>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</si>
  <si>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</si>
  <si>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 xml:space="preserve">Dotación </t>
  </si>
  <si>
    <t>Nota 16.2</t>
  </si>
  <si>
    <t>Inversiones en entidades del Grupo y asociadas a corto plazo</t>
  </si>
  <si>
    <t>Nota 17.8</t>
  </si>
  <si>
    <t>Otras variaciones del patrimonio neto:</t>
  </si>
  <si>
    <t>Operaciones con accionistas: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</si>
  <si>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</si>
  <si>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</si>
  <si>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</si>
  <si>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</si>
  <si>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</si>
  <si>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Fundacional</t>
  </si>
  <si>
    <t>la Entidad</t>
  </si>
  <si>
    <t>Dominante</t>
  </si>
  <si>
    <t>Sociedades</t>
  </si>
  <si>
    <t>Dependientes y</t>
  </si>
  <si>
    <t>Multigrupo</t>
  </si>
  <si>
    <t>Puestas en</t>
  </si>
  <si>
    <t>Equivalencia</t>
  </si>
  <si>
    <t>del Ejercicio</t>
  </si>
  <si>
    <t>Atribuible a</t>
  </si>
  <si>
    <t>Propios</t>
  </si>
  <si>
    <t>Donaciones y</t>
  </si>
  <si>
    <t>Legados</t>
  </si>
  <si>
    <t>Recibidos</t>
  </si>
  <si>
    <t>Externos</t>
  </si>
  <si>
    <t>SALDO AL 31 DE DICIEMBRE DE 2013</t>
  </si>
  <si>
    <t>FUNDACIÓN ONCE PARA LA COOPERACIÓN E INCLUSIÓN SOCIAL DE 
PERSONAS  CON DISCAPACIDAD Y ENTIDADES DEPENDIENTES</t>
  </si>
  <si>
    <t>FUNDACIÓN ONCE PARA LA COOPERACIÓN E INCLUSIÓN SOCIAL DE  PERSONAS CON
 DISCAPACIDAD Y ENTIDADES DEPENDIENTES</t>
  </si>
  <si>
    <t xml:space="preserve">FUNDACIÓN ONCE PARA LA COOPERACIÓN E INCLUSIÓN SOCIAL DE PERSONAS CON DISCAPACIDAD Y ENTIDADES DEPENDIENTES </t>
  </si>
  <si>
    <t>FLUJOS DE EFECTIVO DE LAS ACTIVIDADES DE INVERSIÓN:</t>
  </si>
  <si>
    <t>Check</t>
  </si>
  <si>
    <t>Resultado atribuido a la Entidad dominante</t>
  </si>
  <si>
    <t>31-12-2014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</si>
  <si>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</si>
  <si>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</si>
  <si>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</si>
  <si>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</si>
  <si>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</si>
  <si>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</si>
  <si>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SALDO AL 31 DE DICIEMBRE DE 2014</t>
  </si>
  <si>
    <t>Otros activos financieros en entidades del Grupo y asociadas</t>
  </si>
  <si>
    <t>Anticipos de clientes</t>
  </si>
  <si>
    <t>31-12-2015</t>
  </si>
  <si>
    <t>Las Notas 1 a 21 de la Memoria consolidada adjunta forman parte integrante del balance consolidado al 31 de diciembre de 2015.</t>
  </si>
  <si>
    <t>BALANCE CONSOLIDADO AL 31 DE DICIEMBRE DE 2015</t>
  </si>
  <si>
    <t>Las Notas 1 a 21 de la Memoria consolidada adjunta forman parte integrante de la 
cuenta de pérdidas y ganancias consolidada correspondiente al ejercicio 2015.</t>
  </si>
  <si>
    <t>CUENTA DE PÉRDIDAS Y GANANCIAS CONSOLIDADA DEL EJERCICIO 2015</t>
  </si>
  <si>
    <t>ESTADO DE CAMBIOS EN EL PATRIMONIO NETO CONSOLIDADO DEL EJERCICIO 2015</t>
  </si>
  <si>
    <t>SALDO AL 31 DE DICIEMBRE DE 2015</t>
  </si>
  <si>
    <t>Las Notas 1 a 21 de la Memoria consolidada adjunta forman parte integrante del estado total de 
cambios en el patrimonio neto consolidado correspondiente al ejercicio 2015.</t>
  </si>
  <si>
    <t>ESTADO DE FLUJOS DE EFECTIVO CONSOLIDADO DEL EJERCICIO 2015</t>
  </si>
  <si>
    <t>Las Notas 1 a 21 de la Memoria consolidada adjunta forman parte integrante del 
estado de flujos de efectivo consolidado correspondiente al ejercicio 2015.</t>
  </si>
  <si>
    <t>Resultado por la pérdida de control de participaciones consolidadas</t>
  </si>
  <si>
    <t>Derivados</t>
  </si>
  <si>
    <t>Nota 2.4</t>
  </si>
  <si>
    <t>Participación en beneficios / (pérdidas) de soc. puestas en equivalencia</t>
  </si>
  <si>
    <t>Nota 10.4</t>
  </si>
  <si>
    <t>Notas 18.1 y 10.4</t>
  </si>
  <si>
    <t>Sociedades multigrupo, neto de efectivo</t>
  </si>
  <si>
    <t>Nota 5.2</t>
  </si>
  <si>
    <t>Cobros y pagos por instrumentos de pasivo financiero-</t>
  </si>
  <si>
    <t>SUBVENCIONES, DONACIONES Y LEGADOS RECIBIDOS</t>
  </si>
  <si>
    <t>SOCIOS EXTERNOS</t>
  </si>
  <si>
    <t>Fondo de comercio de consolidación</t>
  </si>
  <si>
    <t>Otro inmovilizado intangible</t>
  </si>
  <si>
    <t xml:space="preserve">A) ESTADO DE INGRESOS Y GASTOS RECONOCIDOS CONSOLIDADO </t>
  </si>
  <si>
    <t>Las Notas 1 a 21 de la Memoria consolidada adjunta forman parte integrante del
estado de ingresos y gastos reconocidos consolidado correspondiente al ejercicio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</si>
</sst>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_ ;_ * \-#,##0_ ;_ * &quot;-&quot;_ ;_ @_ "/>
    <numFmt numFmtId="165" formatCode="#,###_);\(#,###\)"/>
    <numFmt numFmtId="166" formatCode="#,##0_);\(#,##0\);\-"/>
    <numFmt numFmtId="167" formatCode="#,###.00_);\(#,###.00\)"/>
    <numFmt numFmtId="168" formatCode="#,###.0_);\(#,###.0\)"/>
    <numFmt numFmtId="169" formatCode="#,##0;\(#,##0\)"/>
    <numFmt numFmtId="170" formatCode="#,##0\ ;\(#,##0\);\-"/>
  </numFmts>
  <fonts count="24" x14ac:knownFonts="1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9" fontId="1" fillId="0" borderId="0" applyFont="0" applyFill="0" applyBorder="0" applyAlignment="0" applyProtection="0"/>
    <xf numFmtId="0" fontId="23" fillId="0" borderId="0"/>
  </cellStyleXfs>
  <cellXfs count="311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10" fillId="0" borderId="0" xfId="0" applyNumberFormat="1" applyFont="1" applyFill="1" applyBorder="1" applyAlignme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7" fontId="8" fillId="0" borderId="0" xfId="0" applyNumberFormat="1" applyFont="1"/>
    <xf numFmtId="165" fontId="0" fillId="0" borderId="0" xfId="0" applyNumberFormat="1" applyFont="1" applyAlignment="1">
      <alignment horizontal="centerContinuous"/>
    </xf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0" fillId="0" borderId="0" xfId="0" applyNumberFormat="1" applyFont="1" applyFill="1" applyBorder="1" applyAlignment="1">
      <alignment horizontal="centerContinuous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/>
    <xf numFmtId="165" fontId="8" fillId="0" borderId="0" xfId="0" applyNumberFormat="1" applyFont="1" applyFill="1"/>
    <xf numFmtId="167" fontId="8" fillId="0" borderId="0" xfId="0" applyNumberFormat="1" applyFont="1" applyFill="1"/>
    <xf numFmtId="165" fontId="6" fillId="0" borderId="0" xfId="0" applyNumberFormat="1" applyFont="1" applyFill="1" applyAlignment="1">
      <alignment horizontal="centerContinuous"/>
    </xf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8" fillId="0" borderId="7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169" fontId="16" fillId="0" borderId="0" xfId="0" applyNumberFormat="1" applyFont="1" applyFill="1" applyAlignment="1">
      <alignment horizontal="centerContinuous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4" fontId="6" fillId="0" borderId="0" xfId="0" applyNumberFormat="1" applyFont="1" applyFill="1" applyAlignment="1">
      <alignment horizontal="centerContinuous"/>
    </xf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10" fillId="0" borderId="13" xfId="0" applyNumberFormat="1" applyFont="1" applyBorder="1"/>
    <xf numFmtId="165" fontId="8" fillId="0" borderId="3" xfId="0" applyNumberFormat="1" applyFont="1" applyBorder="1"/>
    <xf numFmtId="165" fontId="8" fillId="0" borderId="13" xfId="0" applyNumberFormat="1" applyFont="1" applyBorder="1"/>
    <xf numFmtId="165" fontId="8" fillId="0" borderId="8" xfId="0" applyNumberFormat="1" applyFont="1" applyFill="1" applyBorder="1"/>
    <xf numFmtId="165" fontId="8" fillId="0" borderId="3" xfId="0" applyNumberFormat="1" applyFont="1" applyFill="1" applyBorder="1"/>
    <xf numFmtId="165" fontId="10" fillId="0" borderId="3" xfId="0" applyNumberFormat="1" applyFont="1" applyBorder="1"/>
    <xf numFmtId="3" fontId="8" fillId="0" borderId="0" xfId="0" applyNumberFormat="1" applyFont="1" applyBorder="1"/>
    <xf numFmtId="165" fontId="10" fillId="0" borderId="14" xfId="0" applyNumberFormat="1" applyFont="1" applyBorder="1"/>
    <xf numFmtId="165" fontId="10" fillId="0" borderId="15" xfId="0" applyNumberFormat="1" applyFont="1" applyFill="1" applyBorder="1"/>
    <xf numFmtId="165" fontId="10" fillId="0" borderId="16" xfId="0" applyNumberFormat="1" applyFont="1" applyBorder="1"/>
    <xf numFmtId="165" fontId="8" fillId="0" borderId="17" xfId="0" applyNumberFormat="1" applyFont="1" applyBorder="1"/>
    <xf numFmtId="165" fontId="10" fillId="0" borderId="18" xfId="0" applyNumberFormat="1" applyFont="1" applyBorder="1" applyAlignment="1">
      <alignment horizontal="center"/>
    </xf>
    <xf numFmtId="165" fontId="8" fillId="0" borderId="18" xfId="0" applyNumberFormat="1" applyFont="1" applyFill="1" applyBorder="1"/>
    <xf numFmtId="165" fontId="8" fillId="0" borderId="19" xfId="0" applyNumberFormat="1" applyFont="1" applyBorder="1"/>
    <xf numFmtId="165" fontId="8" fillId="0" borderId="13" xfId="0" applyNumberFormat="1" applyFont="1" applyFill="1" applyBorder="1"/>
    <xf numFmtId="165" fontId="10" fillId="0" borderId="17" xfId="0" applyNumberFormat="1" applyFont="1" applyBorder="1"/>
    <xf numFmtId="165" fontId="10" fillId="0" borderId="17" xfId="0" applyNumberFormat="1" applyFont="1" applyFill="1" applyBorder="1"/>
    <xf numFmtId="165" fontId="8" fillId="0" borderId="17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10" fillId="0" borderId="6" xfId="0" applyNumberFormat="1" applyFont="1" applyBorder="1"/>
    <xf numFmtId="165" fontId="8" fillId="0" borderId="20" xfId="0" applyNumberFormat="1" applyFont="1" applyFill="1" applyBorder="1"/>
    <xf numFmtId="165" fontId="17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8" xfId="0" applyNumberFormat="1" applyFont="1" applyFill="1" applyBorder="1" applyAlignment="1">
      <alignment horizontal="center"/>
    </xf>
    <xf numFmtId="165" fontId="10" fillId="0" borderId="9" xfId="0" applyNumberFormat="1" applyFont="1" applyBorder="1"/>
    <xf numFmtId="165" fontId="8" fillId="0" borderId="21" xfId="0" applyNumberFormat="1" applyFont="1" applyBorder="1"/>
    <xf numFmtId="165" fontId="10" fillId="0" borderId="21" xfId="0" applyNumberFormat="1" applyFont="1" applyBorder="1" applyAlignment="1">
      <alignment horizontal="center"/>
    </xf>
    <xf numFmtId="165" fontId="8" fillId="0" borderId="19" xfId="0" applyNumberFormat="1" applyFont="1" applyFill="1" applyBorder="1"/>
    <xf numFmtId="165" fontId="8" fillId="0" borderId="22" xfId="0" applyNumberFormat="1" applyFont="1" applyFill="1" applyBorder="1"/>
    <xf numFmtId="165" fontId="10" fillId="0" borderId="23" xfId="0" applyNumberFormat="1" applyFont="1" applyBorder="1"/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165" fontId="8" fillId="0" borderId="10" xfId="0" applyNumberFormat="1" applyFont="1" applyBorder="1"/>
    <xf numFmtId="165" fontId="3" fillId="0" borderId="0" xfId="0" applyNumberFormat="1" applyFont="1" applyAlignment="1">
      <alignment horizontal="center"/>
    </xf>
    <xf numFmtId="165" fontId="10" fillId="0" borderId="15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/>
    <xf numFmtId="165" fontId="10" fillId="0" borderId="28" xfId="0" applyNumberFormat="1" applyFont="1" applyFill="1" applyBorder="1"/>
    <xf numFmtId="169" fontId="0" fillId="0" borderId="0" xfId="0" applyNumberFormat="1" applyFont="1" applyFill="1"/>
    <xf numFmtId="165" fontId="10" fillId="0" borderId="17" xfId="0" applyNumberFormat="1" applyFont="1" applyBorder="1" applyAlignment="1"/>
    <xf numFmtId="49" fontId="10" fillId="0" borderId="16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165" fontId="6" fillId="0" borderId="0" xfId="0" applyNumberFormat="1" applyFont="1" applyAlignment="1"/>
    <xf numFmtId="165" fontId="11" fillId="0" borderId="14" xfId="0" applyNumberFormat="1" applyFont="1" applyBorder="1"/>
    <xf numFmtId="165" fontId="11" fillId="0" borderId="15" xfId="0" applyNumberFormat="1" applyFont="1" applyBorder="1"/>
    <xf numFmtId="165" fontId="9" fillId="0" borderId="15" xfId="0" applyNumberFormat="1" applyFont="1" applyBorder="1"/>
    <xf numFmtId="165" fontId="11" fillId="0" borderId="17" xfId="0" applyNumberFormat="1" applyFont="1" applyBorder="1"/>
    <xf numFmtId="165" fontId="3" fillId="0" borderId="17" xfId="0" applyNumberFormat="1" applyFont="1" applyBorder="1"/>
    <xf numFmtId="165" fontId="3" fillId="0" borderId="0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" xfId="0" applyNumberFormat="1" applyFont="1" applyBorder="1"/>
    <xf numFmtId="165" fontId="11" fillId="0" borderId="16" xfId="0" applyNumberFormat="1" applyFont="1" applyBorder="1"/>
    <xf numFmtId="165" fontId="11" fillId="0" borderId="24" xfId="0" applyNumberFormat="1" applyFont="1" applyBorder="1"/>
    <xf numFmtId="165" fontId="9" fillId="0" borderId="24" xfId="0" applyNumberFormat="1" applyFont="1" applyBorder="1"/>
    <xf numFmtId="165" fontId="3" fillId="0" borderId="16" xfId="0" applyNumberFormat="1" applyFont="1" applyBorder="1"/>
    <xf numFmtId="165" fontId="0" fillId="0" borderId="24" xfId="0" applyNumberFormat="1" applyFont="1" applyBorder="1"/>
    <xf numFmtId="165" fontId="10" fillId="0" borderId="24" xfId="0" applyNumberFormat="1" applyFont="1" applyBorder="1"/>
    <xf numFmtId="168" fontId="3" fillId="0" borderId="0" xfId="0" applyNumberFormat="1" applyFont="1" applyAlignment="1">
      <alignment horizontal="center"/>
    </xf>
    <xf numFmtId="165" fontId="10" fillId="0" borderId="26" xfId="0" applyNumberFormat="1" applyFont="1" applyFill="1" applyBorder="1"/>
    <xf numFmtId="166" fontId="8" fillId="0" borderId="8" xfId="0" applyNumberFormat="1" applyFont="1" applyFill="1" applyBorder="1"/>
    <xf numFmtId="166" fontId="8" fillId="0" borderId="8" xfId="0" applyNumberFormat="1" applyFont="1" applyFill="1" applyBorder="1" applyAlignment="1"/>
    <xf numFmtId="166" fontId="8" fillId="0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0" fillId="0" borderId="3" xfId="0" applyNumberFormat="1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/>
    <xf numFmtId="166" fontId="8" fillId="0" borderId="5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9" fontId="8" fillId="0" borderId="0" xfId="4" applyFont="1" applyFill="1" applyBorder="1" applyAlignment="1">
      <alignment horizontal="right"/>
    </xf>
    <xf numFmtId="165" fontId="8" fillId="0" borderId="29" xfId="0" applyNumberFormat="1" applyFont="1" applyFill="1" applyBorder="1"/>
    <xf numFmtId="1" fontId="10" fillId="0" borderId="8" xfId="0" applyNumberFormat="1" applyFont="1" applyFill="1" applyBorder="1" applyAlignment="1">
      <alignment horizontal="center"/>
    </xf>
    <xf numFmtId="165" fontId="10" fillId="0" borderId="6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/>
    <xf numFmtId="165" fontId="8" fillId="0" borderId="8" xfId="3" applyNumberFormat="1" applyFont="1" applyFill="1" applyBorder="1"/>
    <xf numFmtId="165" fontId="10" fillId="0" borderId="8" xfId="3" applyNumberFormat="1" applyFont="1" applyFill="1" applyBorder="1"/>
    <xf numFmtId="165" fontId="10" fillId="0" borderId="5" xfId="2" applyNumberFormat="1" applyFont="1" applyFill="1" applyBorder="1"/>
    <xf numFmtId="165" fontId="10" fillId="0" borderId="8" xfId="2" applyNumberFormat="1" applyFont="1" applyFill="1" applyBorder="1"/>
    <xf numFmtId="165" fontId="6" fillId="0" borderId="0" xfId="0" applyNumberFormat="1" applyFont="1" applyBorder="1" applyAlignment="1">
      <alignment horizontal="centerContinuous"/>
    </xf>
    <xf numFmtId="165" fontId="6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/>
    <xf numFmtId="1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/>
    <xf numFmtId="166" fontId="8" fillId="0" borderId="0" xfId="0" applyNumberFormat="1" applyFont="1" applyFill="1" applyBorder="1" applyAlignment="1"/>
    <xf numFmtId="166" fontId="10" fillId="0" borderId="0" xfId="0" applyNumberFormat="1" applyFont="1" applyFill="1" applyBorder="1"/>
    <xf numFmtId="166" fontId="8" fillId="0" borderId="0" xfId="0" applyNumberFormat="1" applyFont="1" applyFill="1" applyBorder="1" applyAlignment="1">
      <alignment horizontal="right"/>
    </xf>
    <xf numFmtId="165" fontId="2" fillId="0" borderId="0" xfId="0" applyNumberFormat="1" applyFont="1" applyAlignment="1"/>
    <xf numFmtId="165" fontId="4" fillId="0" borderId="0" xfId="0" applyNumberFormat="1" applyFont="1" applyAlignment="1"/>
    <xf numFmtId="4" fontId="8" fillId="0" borderId="30" xfId="0" applyNumberFormat="1" applyFont="1" applyFill="1" applyBorder="1"/>
    <xf numFmtId="166" fontId="8" fillId="0" borderId="3" xfId="0" applyNumberFormat="1" applyFont="1" applyFill="1" applyBorder="1"/>
    <xf numFmtId="166" fontId="8" fillId="0" borderId="3" xfId="0" applyNumberFormat="1" applyFont="1" applyFill="1" applyBorder="1" applyAlignment="1">
      <alignment horizontal="center"/>
    </xf>
    <xf numFmtId="165" fontId="10" fillId="0" borderId="31" xfId="0" applyNumberFormat="1" applyFont="1" applyFill="1" applyBorder="1" applyAlignment="1">
      <alignment horizontal="center"/>
    </xf>
    <xf numFmtId="1" fontId="10" fillId="0" borderId="32" xfId="0" applyNumberFormat="1" applyFont="1" applyFill="1" applyBorder="1" applyAlignment="1">
      <alignment horizontal="center"/>
    </xf>
    <xf numFmtId="165" fontId="8" fillId="0" borderId="33" xfId="0" applyNumberFormat="1" applyFont="1" applyFill="1" applyBorder="1"/>
    <xf numFmtId="165" fontId="10" fillId="0" borderId="34" xfId="0" applyNumberFormat="1" applyFont="1" applyFill="1" applyBorder="1"/>
    <xf numFmtId="165" fontId="10" fillId="0" borderId="8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wrapText="1"/>
    </xf>
    <xf numFmtId="165" fontId="10" fillId="0" borderId="5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8" fillId="0" borderId="8" xfId="3" applyNumberFormat="1" applyFont="1" applyFill="1" applyBorder="1" applyAlignment="1">
      <alignment horizontal="right"/>
    </xf>
    <xf numFmtId="165" fontId="10" fillId="0" borderId="8" xfId="3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8" fillId="0" borderId="8" xfId="3" applyNumberFormat="1" applyFont="1" applyBorder="1" applyAlignment="1">
      <alignment horizontal="right"/>
    </xf>
    <xf numFmtId="49" fontId="10" fillId="0" borderId="0" xfId="0" applyNumberFormat="1" applyFont="1"/>
    <xf numFmtId="9" fontId="8" fillId="0" borderId="0" xfId="4" applyFont="1" applyFill="1" applyBorder="1" applyAlignment="1"/>
    <xf numFmtId="165" fontId="21" fillId="0" borderId="0" xfId="0" applyNumberFormat="1" applyFont="1"/>
    <xf numFmtId="165" fontId="22" fillId="0" borderId="0" xfId="0" applyNumberFormat="1" applyFont="1"/>
    <xf numFmtId="9" fontId="8" fillId="0" borderId="0" xfId="4" applyFont="1"/>
    <xf numFmtId="165" fontId="10" fillId="0" borderId="0" xfId="0" applyNumberFormat="1" applyFont="1" applyAlignment="1"/>
    <xf numFmtId="165" fontId="8" fillId="0" borderId="21" xfId="3" applyNumberFormat="1" applyFont="1" applyFill="1" applyBorder="1"/>
    <xf numFmtId="165" fontId="10" fillId="0" borderId="21" xfId="0" applyNumberFormat="1" applyFont="1" applyFill="1" applyBorder="1"/>
    <xf numFmtId="170" fontId="3" fillId="0" borderId="0" xfId="0" applyNumberFormat="1" applyFont="1"/>
    <xf numFmtId="170" fontId="3" fillId="0" borderId="0" xfId="0" applyNumberFormat="1" applyFont="1" applyAlignment="1">
      <alignment horizontal="center"/>
    </xf>
    <xf numFmtId="170" fontId="3" fillId="0" borderId="0" xfId="0" applyNumberFormat="1" applyFont="1" applyFill="1"/>
    <xf numFmtId="166" fontId="8" fillId="0" borderId="21" xfId="0" applyNumberFormat="1" applyFont="1" applyFill="1" applyBorder="1" applyAlignment="1">
      <alignment horizontal="center"/>
    </xf>
    <xf numFmtId="165" fontId="10" fillId="0" borderId="37" xfId="0" applyNumberFormat="1" applyFont="1" applyFill="1" applyBorder="1"/>
    <xf numFmtId="166" fontId="8" fillId="0" borderId="21" xfId="0" applyNumberFormat="1" applyFont="1" applyFill="1" applyBorder="1"/>
    <xf numFmtId="166" fontId="8" fillId="0" borderId="6" xfId="0" applyNumberFormat="1" applyFont="1" applyFill="1" applyBorder="1" applyAlignment="1">
      <alignment horizontal="right"/>
    </xf>
    <xf numFmtId="165" fontId="10" fillId="0" borderId="21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10" fillId="0" borderId="21" xfId="0" applyNumberFormat="1" applyFont="1" applyBorder="1"/>
    <xf numFmtId="165" fontId="8" fillId="0" borderId="23" xfId="0" applyNumberFormat="1" applyFont="1" applyFill="1" applyBorder="1"/>
    <xf numFmtId="165" fontId="10" fillId="0" borderId="7" xfId="0" applyNumberFormat="1" applyFont="1" applyFill="1" applyBorder="1" applyAlignment="1">
      <alignment horizontal="center" vertical="center"/>
    </xf>
    <xf numFmtId="165" fontId="10" fillId="0" borderId="26" xfId="0" applyNumberFormat="1" applyFont="1" applyFill="1" applyBorder="1" applyAlignment="1">
      <alignment horizontal="center" vertical="center"/>
    </xf>
    <xf numFmtId="165" fontId="10" fillId="0" borderId="21" xfId="3" applyNumberFormat="1" applyFont="1" applyFill="1" applyBorder="1"/>
    <xf numFmtId="165" fontId="10" fillId="0" borderId="7" xfId="0" applyNumberFormat="1" applyFont="1" applyFill="1" applyBorder="1" applyAlignment="1">
      <alignment vertical="center"/>
    </xf>
    <xf numFmtId="165" fontId="10" fillId="0" borderId="10" xfId="0" applyNumberFormat="1" applyFont="1" applyFill="1" applyBorder="1" applyAlignment="1">
      <alignment horizontal="center"/>
    </xf>
    <xf numFmtId="165" fontId="8" fillId="0" borderId="21" xfId="0" applyNumberFormat="1" applyFont="1" applyFill="1" applyBorder="1"/>
    <xf numFmtId="166" fontId="8" fillId="0" borderId="4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/>
    <xf numFmtId="165" fontId="10" fillId="0" borderId="10" xfId="0" applyNumberFormat="1" applyFont="1" applyBorder="1"/>
    <xf numFmtId="165" fontId="6" fillId="0" borderId="0" xfId="0" applyNumberFormat="1" applyFont="1" applyFill="1" applyAlignment="1">
      <alignment horizontal="center"/>
    </xf>
    <xf numFmtId="170" fontId="10" fillId="0" borderId="8" xfId="0" applyNumberFormat="1" applyFont="1" applyBorder="1" applyAlignment="1">
      <alignment horizontal="center"/>
    </xf>
    <xf numFmtId="165" fontId="10" fillId="0" borderId="8" xfId="1" applyNumberFormat="1" applyFont="1" applyBorder="1" applyAlignment="1">
      <alignment horizontal="right"/>
    </xf>
    <xf numFmtId="165" fontId="10" fillId="0" borderId="26" xfId="0" applyNumberFormat="1" applyFont="1" applyBorder="1" applyAlignment="1">
      <alignment horizontal="right"/>
    </xf>
    <xf numFmtId="170" fontId="0" fillId="0" borderId="0" xfId="0" applyNumberFormat="1" applyFont="1" applyFill="1"/>
    <xf numFmtId="170" fontId="5" fillId="0" borderId="0" xfId="0" applyNumberFormat="1" applyFont="1"/>
    <xf numFmtId="170" fontId="7" fillId="0" borderId="0" xfId="0" applyNumberFormat="1" applyFont="1"/>
    <xf numFmtId="170" fontId="0" fillId="0" borderId="0" xfId="0" applyNumberFormat="1" applyFont="1"/>
    <xf numFmtId="170" fontId="10" fillId="0" borderId="0" xfId="0" applyNumberFormat="1" applyFont="1"/>
    <xf numFmtId="170" fontId="8" fillId="0" borderId="0" xfId="0" applyNumberFormat="1" applyFont="1"/>
    <xf numFmtId="165" fontId="8" fillId="0" borderId="8" xfId="3" applyNumberFormat="1" applyFont="1" applyFill="1" applyBorder="1" applyAlignment="1"/>
    <xf numFmtId="170" fontId="8" fillId="0" borderId="8" xfId="0" applyNumberFormat="1" applyFont="1" applyBorder="1" applyAlignment="1"/>
    <xf numFmtId="165" fontId="10" fillId="0" borderId="0" xfId="0" applyNumberFormat="1" applyFont="1" applyBorder="1" applyAlignment="1">
      <alignment horizontal="left"/>
    </xf>
    <xf numFmtId="170" fontId="10" fillId="0" borderId="26" xfId="0" applyNumberFormat="1" applyFont="1" applyFill="1" applyBorder="1" applyAlignment="1">
      <alignment horizontal="center"/>
    </xf>
    <xf numFmtId="165" fontId="22" fillId="0" borderId="0" xfId="0" applyNumberFormat="1" applyFont="1" applyFill="1"/>
    <xf numFmtId="165" fontId="10" fillId="0" borderId="6" xfId="2" applyNumberFormat="1" applyFont="1" applyFill="1" applyBorder="1"/>
    <xf numFmtId="165" fontId="10" fillId="0" borderId="3" xfId="2" applyNumberFormat="1" applyFont="1" applyFill="1" applyBorder="1"/>
    <xf numFmtId="165" fontId="10" fillId="0" borderId="3" xfId="3" applyNumberFormat="1" applyFont="1" applyFill="1" applyBorder="1" applyAlignment="1">
      <alignment horizontal="right"/>
    </xf>
    <xf numFmtId="165" fontId="10" fillId="0" borderId="3" xfId="3" applyNumberFormat="1" applyFont="1" applyFill="1" applyBorder="1"/>
    <xf numFmtId="165" fontId="8" fillId="0" borderId="3" xfId="3" applyNumberFormat="1" applyFont="1" applyFill="1" applyBorder="1"/>
    <xf numFmtId="165" fontId="10" fillId="0" borderId="34" xfId="3" applyNumberFormat="1" applyFont="1" applyFill="1" applyBorder="1"/>
    <xf numFmtId="165" fontId="8" fillId="0" borderId="34" xfId="3" applyNumberFormat="1" applyFont="1" applyFill="1" applyBorder="1"/>
    <xf numFmtId="165" fontId="10" fillId="0" borderId="38" xfId="0" applyNumberFormat="1" applyFont="1" applyBorder="1"/>
    <xf numFmtId="165" fontId="8" fillId="0" borderId="26" xfId="0" applyNumberFormat="1" applyFont="1" applyFill="1" applyBorder="1" applyAlignment="1">
      <alignment horizontal="right"/>
    </xf>
    <xf numFmtId="165" fontId="10" fillId="0" borderId="29" xfId="0" applyNumberFormat="1" applyFont="1" applyFill="1" applyBorder="1" applyAlignment="1">
      <alignment horizontal="right"/>
    </xf>
    <xf numFmtId="170" fontId="8" fillId="0" borderId="3" xfId="3" applyNumberFormat="1" applyFont="1" applyFill="1" applyBorder="1" applyAlignment="1">
      <alignment horizontal="center"/>
    </xf>
    <xf numFmtId="170" fontId="0" fillId="0" borderId="0" xfId="0" applyNumberFormat="1" applyFont="1" applyFill="1" applyAlignment="1">
      <alignment horizontal="center"/>
    </xf>
    <xf numFmtId="165" fontId="10" fillId="0" borderId="8" xfId="0" applyNumberFormat="1" applyFont="1" applyBorder="1" applyAlignment="1"/>
    <xf numFmtId="170" fontId="8" fillId="0" borderId="8" xfId="3" applyNumberFormat="1" applyFont="1" applyFill="1" applyBorder="1" applyAlignment="1">
      <alignment horizontal="center"/>
    </xf>
    <xf numFmtId="165" fontId="17" fillId="0" borderId="0" xfId="0" applyNumberFormat="1" applyFont="1" applyBorder="1"/>
    <xf numFmtId="166" fontId="10" fillId="0" borderId="5" xfId="0" applyNumberFormat="1" applyFont="1" applyFill="1" applyBorder="1"/>
    <xf numFmtId="166" fontId="10" fillId="0" borderId="32" xfId="0" applyNumberFormat="1" applyFont="1" applyFill="1" applyBorder="1"/>
    <xf numFmtId="166" fontId="10" fillId="0" borderId="8" xfId="0" applyNumberFormat="1" applyFont="1" applyFill="1" applyBorder="1"/>
    <xf numFmtId="166" fontId="10" fillId="0" borderId="34" xfId="0" applyNumberFormat="1" applyFont="1" applyFill="1" applyBorder="1"/>
    <xf numFmtId="166" fontId="10" fillId="0" borderId="34" xfId="0" applyNumberFormat="1" applyFont="1" applyFill="1" applyBorder="1" applyProtection="1"/>
    <xf numFmtId="166" fontId="8" fillId="0" borderId="34" xfId="0" applyNumberFormat="1" applyFont="1" applyFill="1" applyBorder="1"/>
    <xf numFmtId="166" fontId="8" fillId="0" borderId="34" xfId="0" applyNumberFormat="1" applyFont="1" applyFill="1" applyBorder="1" applyAlignment="1">
      <alignment horizontal="center"/>
    </xf>
    <xf numFmtId="166" fontId="8" fillId="0" borderId="34" xfId="0" applyNumberFormat="1" applyFont="1" applyFill="1" applyBorder="1" applyAlignment="1">
      <alignment horizontal="right"/>
    </xf>
    <xf numFmtId="166" fontId="10" fillId="0" borderId="8" xfId="0" applyNumberFormat="1" applyFont="1" applyFill="1" applyBorder="1" applyAlignment="1">
      <alignment horizontal="right"/>
    </xf>
    <xf numFmtId="166" fontId="10" fillId="0" borderId="5" xfId="0" applyNumberFormat="1" applyFont="1" applyFill="1" applyBorder="1" applyAlignment="1"/>
    <xf numFmtId="166" fontId="10" fillId="0" borderId="32" xfId="0" applyNumberFormat="1" applyFont="1" applyFill="1" applyBorder="1" applyAlignment="1"/>
    <xf numFmtId="166" fontId="10" fillId="0" borderId="27" xfId="0" applyNumberFormat="1" applyFont="1" applyFill="1" applyBorder="1" applyAlignment="1"/>
    <xf numFmtId="166" fontId="10" fillId="0" borderId="35" xfId="0" applyNumberFormat="1" applyFont="1" applyFill="1" applyBorder="1" applyAlignment="1"/>
    <xf numFmtId="166" fontId="10" fillId="0" borderId="8" xfId="0" applyNumberFormat="1" applyFont="1" applyFill="1" applyBorder="1" applyAlignment="1"/>
    <xf numFmtId="166" fontId="10" fillId="0" borderId="34" xfId="0" applyNumberFormat="1" applyFont="1" applyFill="1" applyBorder="1" applyAlignment="1"/>
    <xf numFmtId="166" fontId="8" fillId="0" borderId="34" xfId="0" applyNumberFormat="1" applyFont="1" applyFill="1" applyBorder="1" applyAlignment="1"/>
    <xf numFmtId="166" fontId="8" fillId="0" borderId="26" xfId="0" applyNumberFormat="1" applyFont="1" applyFill="1" applyBorder="1" applyAlignment="1"/>
    <xf numFmtId="166" fontId="8" fillId="0" borderId="36" xfId="0" applyNumberFormat="1" applyFont="1" applyFill="1" applyBorder="1" applyAlignment="1"/>
    <xf numFmtId="166" fontId="10" fillId="0" borderId="13" xfId="0" applyNumberFormat="1" applyFont="1" applyFill="1" applyBorder="1"/>
    <xf numFmtId="166" fontId="10" fillId="0" borderId="3" xfId="0" applyNumberFormat="1" applyFont="1" applyFill="1" applyBorder="1"/>
    <xf numFmtId="166" fontId="10" fillId="0" borderId="8" xfId="0" applyNumberFormat="1" applyFont="1" applyBorder="1"/>
    <xf numFmtId="166" fontId="10" fillId="0" borderId="3" xfId="0" applyNumberFormat="1" applyFont="1" applyBorder="1"/>
    <xf numFmtId="166" fontId="8" fillId="0" borderId="8" xfId="0" applyNumberFormat="1" applyFont="1" applyBorder="1"/>
    <xf numFmtId="166" fontId="8" fillId="0" borderId="3" xfId="0" applyNumberFormat="1" applyFont="1" applyBorder="1"/>
    <xf numFmtId="166" fontId="8" fillId="0" borderId="3" xfId="0" applyNumberFormat="1" applyFont="1" applyFill="1" applyBorder="1" applyAlignment="1"/>
    <xf numFmtId="166" fontId="8" fillId="0" borderId="8" xfId="1" applyNumberFormat="1" applyFont="1" applyBorder="1" applyAlignment="1">
      <alignment horizontal="right"/>
    </xf>
    <xf numFmtId="166" fontId="8" fillId="0" borderId="3" xfId="1" applyNumberFormat="1" applyFont="1" applyBorder="1" applyAlignment="1">
      <alignment horizontal="right"/>
    </xf>
    <xf numFmtId="166" fontId="20" fillId="0" borderId="8" xfId="0" applyNumberFormat="1" applyFont="1" applyBorder="1"/>
    <xf numFmtId="166" fontId="20" fillId="0" borderId="3" xfId="0" applyNumberFormat="1" applyFont="1" applyBorder="1"/>
    <xf numFmtId="166" fontId="10" fillId="0" borderId="3" xfId="0" applyNumberFormat="1" applyFont="1" applyFill="1" applyBorder="1" applyAlignment="1"/>
    <xf numFmtId="166" fontId="10" fillId="0" borderId="6" xfId="0" applyNumberFormat="1" applyFont="1" applyFill="1" applyBorder="1" applyAlignment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18" xfId="0" applyNumberFormat="1" applyFont="1" applyFill="1" applyBorder="1" applyAlignment="1"/>
    <xf numFmtId="166" fontId="8" fillId="0" borderId="22" xfId="0" applyNumberFormat="1" applyFont="1" applyFill="1" applyBorder="1" applyAlignment="1"/>
    <xf numFmtId="166" fontId="8" fillId="0" borderId="29" xfId="0" applyNumberFormat="1" applyFont="1" applyFill="1" applyBorder="1" applyAlignment="1"/>
    <xf numFmtId="165" fontId="8" fillId="0" borderId="8" xfId="0" applyNumberFormat="1" applyFont="1" applyBorder="1" applyAlignment="1">
      <alignment horizontal="right"/>
    </xf>
    <xf numFmtId="165" fontId="6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</cellXfs>
  <cellStyles count="6">
    <cellStyle name="Millares [0]" xfId="1" builtinId="6"/>
    <cellStyle name="Normal" xfId="0" builtinId="0"/>
    <cellStyle name="Normal 2" xfId="2"/>
    <cellStyle name="Normal 2 2" xfId="5"/>
    <cellStyle name="Normal 3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58"/>
  <sheetViews>
    <sheetView view="pageBreakPreview" topLeftCell="A7" zoomScaleNormal="90" zoomScaleSheetLayoutView="100" workbookViewId="0">
      <selection activeCell="D33" sqref="D33"/>
    </sheetView>
  </sheetViews>
  <sheetFormatPr baseColWidth="10" defaultColWidth="11.42578125" defaultRowHeight="12.75" x14ac:dyDescent="0.2"/>
  <cols>
    <col min="1" max="1" width="0.85546875" style="1" customWidth="1"/>
    <col min="2" max="2" width="54.5703125" style="1" customWidth="1"/>
    <col min="3" max="3" width="14.5703125" style="51" customWidth="1"/>
    <col min="4" max="4" width="12.85546875" style="69" customWidth="1"/>
    <col min="5" max="5" width="11.28515625" style="1" customWidth="1"/>
    <col min="6" max="6" width="0.85546875" style="1" customWidth="1"/>
    <col min="7" max="7" width="49.42578125" style="1" bestFit="1" customWidth="1"/>
    <col min="8" max="8" width="14.5703125" style="54" customWidth="1"/>
    <col min="9" max="10" width="11.7109375" style="1" customWidth="1"/>
    <col min="11" max="12" width="12.5703125" style="1" customWidth="1"/>
    <col min="13" max="16384" width="11.42578125" style="1"/>
  </cols>
  <sheetData>
    <row r="1" spans="1:12" s="116" customFormat="1" ht="20.25" customHeight="1" x14ac:dyDescent="0.25">
      <c r="A1" s="297" t="s">
        <v>160</v>
      </c>
      <c r="B1" s="297"/>
      <c r="C1" s="297"/>
      <c r="D1" s="297"/>
      <c r="E1" s="297"/>
      <c r="F1" s="297"/>
      <c r="G1" s="297"/>
      <c r="H1" s="297"/>
      <c r="I1" s="297"/>
      <c r="J1" s="297"/>
    </row>
    <row r="3" spans="1:12" ht="15.75" x14ac:dyDescent="0.25">
      <c r="A3" s="299" t="s">
        <v>217</v>
      </c>
      <c r="B3" s="299"/>
      <c r="C3" s="299"/>
      <c r="D3" s="299"/>
      <c r="E3" s="299"/>
      <c r="F3" s="299"/>
      <c r="G3" s="299"/>
      <c r="H3" s="299"/>
      <c r="I3" s="299"/>
      <c r="J3" s="299"/>
      <c r="K3" s="3"/>
      <c r="L3" s="3"/>
    </row>
    <row r="4" spans="1:12" ht="15" x14ac:dyDescent="0.2">
      <c r="A4" s="298" t="s">
        <v>42</v>
      </c>
      <c r="B4" s="298"/>
      <c r="C4" s="298"/>
      <c r="D4" s="298"/>
      <c r="E4" s="298"/>
      <c r="F4" s="298"/>
      <c r="G4" s="298"/>
      <c r="H4" s="298"/>
      <c r="I4" s="298"/>
      <c r="J4" s="298"/>
      <c r="K4" s="5"/>
      <c r="L4" s="5"/>
    </row>
    <row r="5" spans="1:12" ht="13.5" thickBot="1" x14ac:dyDescent="0.25">
      <c r="I5" s="7"/>
      <c r="J5" s="7"/>
      <c r="K5" s="7"/>
      <c r="L5" s="7"/>
    </row>
    <row r="6" spans="1:12" s="25" customFormat="1" ht="12.75" customHeight="1" x14ac:dyDescent="0.2">
      <c r="A6" s="83"/>
      <c r="B6" s="84"/>
      <c r="C6" s="8" t="s">
        <v>4</v>
      </c>
      <c r="D6" s="300" t="s">
        <v>215</v>
      </c>
      <c r="E6" s="300" t="s">
        <v>205</v>
      </c>
      <c r="F6" s="84"/>
      <c r="G6" s="84"/>
      <c r="H6" s="8" t="s">
        <v>4</v>
      </c>
      <c r="I6" s="300" t="s">
        <v>215</v>
      </c>
      <c r="J6" s="302" t="s">
        <v>205</v>
      </c>
      <c r="K6" s="10"/>
      <c r="L6" s="10"/>
    </row>
    <row r="7" spans="1:12" s="199" customFormat="1" ht="12.75" customHeight="1" x14ac:dyDescent="0.2">
      <c r="A7" s="127"/>
      <c r="B7" s="128" t="s">
        <v>1</v>
      </c>
      <c r="C7" s="129" t="s">
        <v>5</v>
      </c>
      <c r="D7" s="301"/>
      <c r="E7" s="301"/>
      <c r="F7" s="130"/>
      <c r="G7" s="128" t="s">
        <v>49</v>
      </c>
      <c r="H7" s="129" t="s">
        <v>5</v>
      </c>
      <c r="I7" s="301"/>
      <c r="J7" s="303"/>
      <c r="K7" s="131"/>
      <c r="L7" s="131"/>
    </row>
    <row r="8" spans="1:12" s="21" customFormat="1" ht="12.75" customHeight="1" x14ac:dyDescent="0.2">
      <c r="A8" s="86"/>
      <c r="B8" s="16"/>
      <c r="C8" s="87"/>
      <c r="D8" s="183"/>
      <c r="E8" s="88"/>
      <c r="F8" s="89"/>
      <c r="G8" s="97"/>
      <c r="H8" s="100"/>
      <c r="I8" s="79"/>
      <c r="J8" s="105"/>
      <c r="K8" s="35"/>
      <c r="L8" s="35"/>
    </row>
    <row r="9" spans="1:12" s="25" customFormat="1" ht="12.75" customHeight="1" x14ac:dyDescent="0.2">
      <c r="A9" s="91"/>
      <c r="B9" s="14" t="s">
        <v>50</v>
      </c>
      <c r="C9" s="52"/>
      <c r="D9" s="192">
        <f>+D10+D13+D14+D15+D19+D20</f>
        <v>393387393</v>
      </c>
      <c r="E9" s="192">
        <f>+E10+E13+E14+E15+E19+E20</f>
        <v>310286298</v>
      </c>
      <c r="F9" s="14"/>
      <c r="G9" s="36" t="s">
        <v>53</v>
      </c>
      <c r="H9" s="52" t="s">
        <v>92</v>
      </c>
      <c r="I9" s="167">
        <f>+I10+I14+I15</f>
        <v>340461827</v>
      </c>
      <c r="J9" s="242">
        <f>+J10+J14+J15</f>
        <v>299990349</v>
      </c>
      <c r="K9" s="36"/>
      <c r="L9" s="36"/>
    </row>
    <row r="10" spans="1:12" s="25" customFormat="1" ht="12.75" customHeight="1" x14ac:dyDescent="0.2">
      <c r="A10" s="92"/>
      <c r="B10" s="36" t="s">
        <v>6</v>
      </c>
      <c r="C10" s="52" t="s">
        <v>43</v>
      </c>
      <c r="D10" s="193">
        <f>+D11+D12</f>
        <v>64673616</v>
      </c>
      <c r="E10" s="193">
        <f>+E11+E12</f>
        <v>44090744</v>
      </c>
      <c r="F10" s="36"/>
      <c r="G10" s="98" t="s">
        <v>180</v>
      </c>
      <c r="H10" s="52" t="s">
        <v>141</v>
      </c>
      <c r="I10" s="94">
        <f>+SUM(I11:I13)</f>
        <v>220725986</v>
      </c>
      <c r="J10" s="81">
        <f>+SUM(J11:J13)</f>
        <v>160972208</v>
      </c>
      <c r="K10" s="15"/>
      <c r="L10" s="15"/>
    </row>
    <row r="11" spans="1:12" s="25" customFormat="1" ht="12.75" customHeight="1" x14ac:dyDescent="0.2">
      <c r="A11" s="92"/>
      <c r="B11" s="35" t="s">
        <v>236</v>
      </c>
      <c r="C11" s="52"/>
      <c r="D11" s="295">
        <v>33657620</v>
      </c>
      <c r="E11" s="295">
        <v>7675289</v>
      </c>
      <c r="F11" s="35"/>
      <c r="G11" s="36" t="s">
        <v>164</v>
      </c>
      <c r="H11" s="52"/>
      <c r="I11" s="168">
        <v>601012</v>
      </c>
      <c r="J11" s="243">
        <f>601012</f>
        <v>601012</v>
      </c>
      <c r="K11" s="15"/>
      <c r="L11" s="15"/>
    </row>
    <row r="12" spans="1:12" s="21" customFormat="1" ht="12.75" customHeight="1" x14ac:dyDescent="0.2">
      <c r="A12" s="92"/>
      <c r="B12" s="35" t="s">
        <v>237</v>
      </c>
      <c r="C12" s="52"/>
      <c r="D12" s="295">
        <v>31015996</v>
      </c>
      <c r="E12" s="295">
        <v>36415455</v>
      </c>
      <c r="F12" s="35"/>
      <c r="G12" s="36" t="s">
        <v>11</v>
      </c>
      <c r="H12" s="52"/>
      <c r="I12" s="168">
        <f>182992632-18320007-4301430</f>
        <v>160371195</v>
      </c>
      <c r="J12" s="243">
        <f>161781004</f>
        <v>161781004</v>
      </c>
      <c r="K12" s="15"/>
      <c r="L12" s="15"/>
    </row>
    <row r="13" spans="1:12" s="21" customFormat="1" ht="12.75" customHeight="1" x14ac:dyDescent="0.2">
      <c r="A13" s="93"/>
      <c r="B13" s="36" t="s">
        <v>7</v>
      </c>
      <c r="C13" s="52" t="s">
        <v>40</v>
      </c>
      <c r="D13" s="193">
        <v>176331866</v>
      </c>
      <c r="E13" s="193">
        <v>177238588</v>
      </c>
      <c r="F13" s="90"/>
      <c r="G13" s="14" t="s">
        <v>165</v>
      </c>
      <c r="H13" s="52"/>
      <c r="I13" s="168">
        <f>+'P&amp;L'!D54</f>
        <v>59753779</v>
      </c>
      <c r="J13" s="243">
        <f>(-1409809+1)</f>
        <v>-1409808</v>
      </c>
      <c r="K13" s="6"/>
      <c r="L13" s="6"/>
    </row>
    <row r="14" spans="1:12" s="21" customFormat="1" ht="12.75" customHeight="1" x14ac:dyDescent="0.2">
      <c r="A14" s="93"/>
      <c r="B14" s="36" t="s">
        <v>82</v>
      </c>
      <c r="C14" s="52" t="s">
        <v>83</v>
      </c>
      <c r="D14" s="193">
        <v>62277686</v>
      </c>
      <c r="E14" s="193">
        <f>24628642</f>
        <v>24628642</v>
      </c>
      <c r="F14" s="90"/>
      <c r="G14" s="256" t="s">
        <v>234</v>
      </c>
      <c r="H14" s="52" t="s">
        <v>142</v>
      </c>
      <c r="I14" s="195">
        <v>117132239</v>
      </c>
      <c r="J14" s="244">
        <f>135920815</f>
        <v>135920815</v>
      </c>
      <c r="K14" s="17"/>
      <c r="L14" s="17"/>
    </row>
    <row r="15" spans="1:12" s="21" customFormat="1" ht="12.75" customHeight="1" x14ac:dyDescent="0.2">
      <c r="A15" s="93"/>
      <c r="B15" s="36" t="s">
        <v>166</v>
      </c>
      <c r="C15" s="52" t="s">
        <v>44</v>
      </c>
      <c r="D15" s="190">
        <f>+D16+D17+D18</f>
        <v>17628183</v>
      </c>
      <c r="E15" s="190">
        <f>+E16+E17</f>
        <v>30301583</v>
      </c>
      <c r="F15" s="90"/>
      <c r="G15" s="256" t="s">
        <v>235</v>
      </c>
      <c r="H15" s="52" t="s">
        <v>143</v>
      </c>
      <c r="I15" s="195">
        <v>2603602</v>
      </c>
      <c r="J15" s="244">
        <f>3097326</f>
        <v>3097326</v>
      </c>
      <c r="K15" s="17"/>
      <c r="L15" s="17"/>
    </row>
    <row r="16" spans="1:12" s="21" customFormat="1" ht="12.75" customHeight="1" x14ac:dyDescent="0.2">
      <c r="A16" s="93"/>
      <c r="B16" s="35" t="s">
        <v>84</v>
      </c>
      <c r="C16" s="67"/>
      <c r="D16" s="194">
        <v>16284278</v>
      </c>
      <c r="E16" s="194">
        <f>27370983</f>
        <v>27370983</v>
      </c>
      <c r="F16" s="90"/>
      <c r="G16" s="14"/>
      <c r="H16" s="52"/>
      <c r="I16" s="166"/>
      <c r="J16" s="245"/>
      <c r="K16" s="17"/>
      <c r="L16" s="17"/>
    </row>
    <row r="17" spans="1:12" s="21" customFormat="1" ht="12.75" customHeight="1" x14ac:dyDescent="0.2">
      <c r="A17" s="93"/>
      <c r="B17" s="35" t="s">
        <v>8</v>
      </c>
      <c r="C17" s="67"/>
      <c r="D17" s="194">
        <f>1343905-45796</f>
        <v>1298109</v>
      </c>
      <c r="E17" s="194">
        <f>2930600</f>
        <v>2930600</v>
      </c>
      <c r="F17" s="90"/>
      <c r="G17" s="14"/>
      <c r="H17" s="52"/>
      <c r="I17" s="166"/>
      <c r="J17" s="245"/>
      <c r="K17" s="17"/>
      <c r="L17" s="17"/>
    </row>
    <row r="18" spans="1:12" s="21" customFormat="1" ht="12.75" customHeight="1" x14ac:dyDescent="0.2">
      <c r="A18" s="93"/>
      <c r="B18" s="35" t="s">
        <v>9</v>
      </c>
      <c r="C18" s="67"/>
      <c r="D18" s="194">
        <v>45796</v>
      </c>
      <c r="E18" s="255">
        <v>0</v>
      </c>
      <c r="F18" s="90"/>
      <c r="G18" s="14"/>
      <c r="H18" s="52"/>
      <c r="I18" s="166"/>
      <c r="J18" s="245"/>
      <c r="K18" s="17"/>
      <c r="L18" s="159"/>
    </row>
    <row r="19" spans="1:12" s="21" customFormat="1" ht="12.75" customHeight="1" x14ac:dyDescent="0.2">
      <c r="A19" s="93"/>
      <c r="B19" s="36" t="s">
        <v>85</v>
      </c>
      <c r="C19" s="52" t="s">
        <v>45</v>
      </c>
      <c r="D19" s="195">
        <v>20032023</v>
      </c>
      <c r="E19" s="195">
        <f>20309364</f>
        <v>20309364</v>
      </c>
      <c r="F19" s="90"/>
      <c r="G19" s="14"/>
      <c r="H19" s="52"/>
      <c r="I19" s="166"/>
      <c r="J19" s="245"/>
      <c r="K19" s="17"/>
      <c r="L19" s="17"/>
    </row>
    <row r="20" spans="1:12" s="21" customFormat="1" ht="12.75" customHeight="1" x14ac:dyDescent="0.2">
      <c r="A20" s="93"/>
      <c r="B20" s="36" t="s">
        <v>86</v>
      </c>
      <c r="C20" s="52" t="s">
        <v>140</v>
      </c>
      <c r="D20" s="195">
        <v>52444019</v>
      </c>
      <c r="E20" s="195">
        <f>13717377</f>
        <v>13717377</v>
      </c>
      <c r="F20" s="90"/>
      <c r="G20" s="14"/>
      <c r="H20" s="52"/>
      <c r="I20" s="166"/>
      <c r="J20" s="245"/>
      <c r="K20" s="17"/>
      <c r="L20" s="17"/>
    </row>
    <row r="21" spans="1:12" s="21" customFormat="1" ht="12.75" customHeight="1" x14ac:dyDescent="0.2">
      <c r="A21" s="93"/>
      <c r="B21" s="36"/>
      <c r="C21" s="52"/>
      <c r="D21" s="195"/>
      <c r="E21" s="195"/>
      <c r="F21" s="90"/>
      <c r="G21" s="36" t="s">
        <v>54</v>
      </c>
      <c r="H21" s="52"/>
      <c r="I21" s="164">
        <f>+I22+I23+I27+I28+I29</f>
        <v>132361629</v>
      </c>
      <c r="J21" s="96">
        <f>+J22+J23+J27+J28+J29</f>
        <v>80067296</v>
      </c>
      <c r="K21" s="6"/>
      <c r="L21" s="6"/>
    </row>
    <row r="22" spans="1:12" s="21" customFormat="1" ht="12.75" customHeight="1" x14ac:dyDescent="0.2">
      <c r="A22" s="93"/>
      <c r="B22" s="36"/>
      <c r="C22" s="52"/>
      <c r="D22" s="195"/>
      <c r="E22" s="195"/>
      <c r="F22" s="90"/>
      <c r="G22" s="36" t="s">
        <v>91</v>
      </c>
      <c r="H22" s="52" t="s">
        <v>144</v>
      </c>
      <c r="I22" s="94">
        <v>30566239</v>
      </c>
      <c r="J22" s="81">
        <f>5993249</f>
        <v>5993249</v>
      </c>
      <c r="K22" s="6"/>
      <c r="L22" s="6"/>
    </row>
    <row r="23" spans="1:12" s="21" customFormat="1" ht="12.75" customHeight="1" x14ac:dyDescent="0.2">
      <c r="A23" s="93"/>
      <c r="B23" s="36"/>
      <c r="C23" s="52"/>
      <c r="D23" s="195"/>
      <c r="E23" s="195"/>
      <c r="F23" s="90"/>
      <c r="G23" s="36" t="s">
        <v>93</v>
      </c>
      <c r="H23" s="52" t="s">
        <v>126</v>
      </c>
      <c r="I23" s="94">
        <f>+SUM(I24:I26)</f>
        <v>94381852</v>
      </c>
      <c r="J23" s="81">
        <f>+SUM(J24:J26)</f>
        <v>66272376</v>
      </c>
      <c r="L23" s="16"/>
    </row>
    <row r="24" spans="1:12" s="25" customFormat="1" ht="12.75" customHeight="1" x14ac:dyDescent="0.2">
      <c r="A24" s="93"/>
      <c r="B24" s="36"/>
      <c r="C24" s="52"/>
      <c r="D24" s="195"/>
      <c r="E24" s="195"/>
      <c r="F24" s="90"/>
      <c r="G24" s="35" t="s">
        <v>94</v>
      </c>
      <c r="H24" s="52"/>
      <c r="I24" s="165">
        <v>91281927</v>
      </c>
      <c r="J24" s="246">
        <f>64195097</f>
        <v>64195097</v>
      </c>
      <c r="K24" s="36"/>
      <c r="L24" s="36"/>
    </row>
    <row r="25" spans="1:12" s="21" customFormat="1" ht="12.75" customHeight="1" x14ac:dyDescent="0.2">
      <c r="A25" s="93"/>
      <c r="B25" s="36"/>
      <c r="C25" s="52"/>
      <c r="D25" s="195"/>
      <c r="E25" s="195"/>
      <c r="F25" s="90"/>
      <c r="G25" s="35" t="s">
        <v>95</v>
      </c>
      <c r="H25" s="52"/>
      <c r="I25" s="165">
        <v>687525</v>
      </c>
      <c r="J25" s="246">
        <f>1396661</f>
        <v>1396661</v>
      </c>
      <c r="K25" s="15"/>
      <c r="L25" s="15"/>
    </row>
    <row r="26" spans="1:12" s="21" customFormat="1" ht="12.75" customHeight="1" x14ac:dyDescent="0.2">
      <c r="A26" s="93"/>
      <c r="B26" s="36"/>
      <c r="C26" s="52"/>
      <c r="D26" s="195"/>
      <c r="E26" s="195"/>
      <c r="F26" s="35"/>
      <c r="G26" s="35" t="s">
        <v>96</v>
      </c>
      <c r="H26" s="67"/>
      <c r="I26" s="165">
        <v>2412400</v>
      </c>
      <c r="J26" s="246">
        <f>680618</f>
        <v>680618</v>
      </c>
      <c r="K26" s="6"/>
      <c r="L26" s="6"/>
    </row>
    <row r="27" spans="1:12" s="21" customFormat="1" ht="12.75" customHeight="1" x14ac:dyDescent="0.2">
      <c r="A27" s="93"/>
      <c r="B27" s="36"/>
      <c r="C27" s="52"/>
      <c r="D27" s="195"/>
      <c r="E27" s="195"/>
      <c r="F27" s="90"/>
      <c r="G27" s="36" t="s">
        <v>168</v>
      </c>
      <c r="H27" s="52" t="s">
        <v>81</v>
      </c>
      <c r="I27" s="94">
        <v>3890275</v>
      </c>
      <c r="J27" s="81">
        <f>1141757</f>
        <v>1141757</v>
      </c>
      <c r="K27" s="6"/>
      <c r="L27" s="6"/>
    </row>
    <row r="28" spans="1:12" s="21" customFormat="1" ht="12.75" customHeight="1" x14ac:dyDescent="0.2">
      <c r="A28" s="93"/>
      <c r="B28" s="36"/>
      <c r="C28" s="52"/>
      <c r="D28" s="195"/>
      <c r="E28" s="195"/>
      <c r="F28" s="76"/>
      <c r="G28" s="14" t="s">
        <v>12</v>
      </c>
      <c r="H28" s="63" t="s">
        <v>140</v>
      </c>
      <c r="I28" s="94">
        <v>3076587</v>
      </c>
      <c r="J28" s="81">
        <f>6203546</f>
        <v>6203546</v>
      </c>
      <c r="K28" s="6"/>
      <c r="L28" s="6"/>
    </row>
    <row r="29" spans="1:12" s="21" customFormat="1" ht="12.75" customHeight="1" x14ac:dyDescent="0.2">
      <c r="A29" s="93"/>
      <c r="B29" s="36"/>
      <c r="C29" s="52"/>
      <c r="D29" s="122"/>
      <c r="E29" s="122"/>
      <c r="F29" s="90"/>
      <c r="G29" s="36" t="s">
        <v>98</v>
      </c>
      <c r="H29" s="52"/>
      <c r="I29" s="94">
        <v>446676</v>
      </c>
      <c r="J29" s="81">
        <f>456368</f>
        <v>456368</v>
      </c>
      <c r="K29" s="6"/>
      <c r="L29" s="6"/>
    </row>
    <row r="30" spans="1:12" s="21" customFormat="1" ht="12.75" customHeight="1" x14ac:dyDescent="0.2">
      <c r="A30" s="91"/>
      <c r="B30" s="14"/>
      <c r="C30" s="94"/>
      <c r="D30" s="190"/>
      <c r="E30" s="190"/>
      <c r="F30" s="90"/>
      <c r="G30" s="14"/>
      <c r="H30" s="52"/>
      <c r="I30" s="166"/>
      <c r="J30" s="245"/>
      <c r="K30" s="200"/>
      <c r="L30" s="6"/>
    </row>
    <row r="31" spans="1:12" s="21" customFormat="1" ht="12.75" customHeight="1" x14ac:dyDescent="0.2">
      <c r="A31" s="93"/>
      <c r="B31" s="16"/>
      <c r="C31" s="117"/>
      <c r="D31" s="122"/>
      <c r="E31" s="122"/>
      <c r="F31" s="90"/>
      <c r="G31" s="36" t="s">
        <v>55</v>
      </c>
      <c r="H31" s="52"/>
      <c r="I31" s="164">
        <f>+I32+I33+I38+I39+I40+I47</f>
        <v>149474567</v>
      </c>
      <c r="J31" s="96">
        <f>+J32+J33+J38+J39+J40+J47</f>
        <v>158942975</v>
      </c>
      <c r="K31" s="16"/>
      <c r="L31" s="16"/>
    </row>
    <row r="32" spans="1:12" s="21" customFormat="1" ht="12.75" customHeight="1" x14ac:dyDescent="0.2">
      <c r="A32" s="93"/>
      <c r="B32" s="14" t="s">
        <v>51</v>
      </c>
      <c r="C32" s="52"/>
      <c r="D32" s="196">
        <f>+D33+D34+D37+D42+D45+D46+D47</f>
        <v>228910630</v>
      </c>
      <c r="E32" s="196">
        <f>+E33+E34+E37+E42+E45+E46+E47</f>
        <v>228714322</v>
      </c>
      <c r="F32" s="90"/>
      <c r="G32" s="14" t="s">
        <v>13</v>
      </c>
      <c r="H32" s="63" t="s">
        <v>144</v>
      </c>
      <c r="I32" s="94">
        <v>1258326</v>
      </c>
      <c r="J32" s="81">
        <f>1784209</f>
        <v>1784209</v>
      </c>
      <c r="K32" s="6"/>
      <c r="L32" s="6"/>
    </row>
    <row r="33" spans="1:12" s="21" customFormat="1" ht="12.75" customHeight="1" x14ac:dyDescent="0.2">
      <c r="A33" s="93"/>
      <c r="B33" s="14" t="s">
        <v>3</v>
      </c>
      <c r="C33" s="52" t="s">
        <v>89</v>
      </c>
      <c r="D33" s="197">
        <v>28840567</v>
      </c>
      <c r="E33" s="197">
        <f>5969653</f>
        <v>5969653</v>
      </c>
      <c r="F33" s="90"/>
      <c r="G33" s="14" t="s">
        <v>99</v>
      </c>
      <c r="H33" s="63" t="s">
        <v>126</v>
      </c>
      <c r="I33" s="94">
        <f>+SUM(I34:I37)</f>
        <v>34718214</v>
      </c>
      <c r="J33" s="81">
        <f>+J34+J35+J37</f>
        <v>37493850</v>
      </c>
      <c r="K33" s="15"/>
      <c r="L33" s="15"/>
    </row>
    <row r="34" spans="1:12" s="21" customFormat="1" ht="12.75" customHeight="1" x14ac:dyDescent="0.2">
      <c r="A34" s="93"/>
      <c r="B34" s="14" t="s">
        <v>161</v>
      </c>
      <c r="C34" s="52"/>
      <c r="D34" s="193">
        <f>+D35+D36</f>
        <v>43862560</v>
      </c>
      <c r="E34" s="193">
        <f>46196428</f>
        <v>46196428</v>
      </c>
      <c r="F34" s="90"/>
      <c r="G34" s="35" t="s">
        <v>94</v>
      </c>
      <c r="H34" s="52"/>
      <c r="I34" s="165">
        <v>28984914</v>
      </c>
      <c r="J34" s="246">
        <f>33312132</f>
        <v>33312132</v>
      </c>
      <c r="K34" s="18"/>
      <c r="L34" s="18"/>
    </row>
    <row r="35" spans="1:12" s="21" customFormat="1" ht="12.75" customHeight="1" x14ac:dyDescent="0.2">
      <c r="A35" s="93"/>
      <c r="B35" s="35" t="s">
        <v>162</v>
      </c>
      <c r="C35" s="52" t="s">
        <v>81</v>
      </c>
      <c r="D35" s="194">
        <v>21788093</v>
      </c>
      <c r="E35" s="194">
        <f>21363002</f>
        <v>21363002</v>
      </c>
      <c r="F35" s="90"/>
      <c r="G35" s="35" t="s">
        <v>95</v>
      </c>
      <c r="H35" s="52"/>
      <c r="I35" s="165">
        <v>100031</v>
      </c>
      <c r="J35" s="246">
        <f>231334</f>
        <v>231334</v>
      </c>
      <c r="K35" s="18"/>
      <c r="L35" s="18"/>
    </row>
    <row r="36" spans="1:12" s="25" customFormat="1" ht="12.75" customHeight="1" x14ac:dyDescent="0.2">
      <c r="A36" s="93"/>
      <c r="B36" s="35" t="s">
        <v>163</v>
      </c>
      <c r="C36" s="52" t="s">
        <v>173</v>
      </c>
      <c r="D36" s="194">
        <v>22074467</v>
      </c>
      <c r="E36" s="194">
        <f>24833426</f>
        <v>24833426</v>
      </c>
      <c r="F36" s="90"/>
      <c r="G36" s="35" t="s">
        <v>226</v>
      </c>
      <c r="H36" s="52"/>
      <c r="I36" s="165">
        <v>3381719</v>
      </c>
      <c r="J36" s="252">
        <v>0</v>
      </c>
      <c r="K36" s="15"/>
      <c r="L36" s="15"/>
    </row>
    <row r="37" spans="1:12" s="25" customFormat="1" ht="12.75" customHeight="1" x14ac:dyDescent="0.2">
      <c r="A37" s="93"/>
      <c r="B37" s="14" t="s">
        <v>52</v>
      </c>
      <c r="C37" s="52" t="s">
        <v>229</v>
      </c>
      <c r="D37" s="193">
        <f>+D38+D39+D40+D41</f>
        <v>121228416</v>
      </c>
      <c r="E37" s="193">
        <f>+E38+E39+E40+E41</f>
        <v>119162415</v>
      </c>
      <c r="F37" s="90"/>
      <c r="G37" s="35" t="s">
        <v>96</v>
      </c>
      <c r="H37" s="67"/>
      <c r="I37" s="165">
        <f>5633269-3381719</f>
        <v>2251550</v>
      </c>
      <c r="J37" s="246">
        <f>3950384</f>
        <v>3950384</v>
      </c>
      <c r="K37" s="15"/>
      <c r="L37" s="15"/>
    </row>
    <row r="38" spans="1:12" s="25" customFormat="1" ht="12.75" customHeight="1" x14ac:dyDescent="0.2">
      <c r="A38" s="93"/>
      <c r="B38" s="35" t="s">
        <v>10</v>
      </c>
      <c r="C38" s="52"/>
      <c r="D38" s="198">
        <v>101664366</v>
      </c>
      <c r="E38" s="198">
        <f>97515637</f>
        <v>97515637</v>
      </c>
      <c r="F38" s="75"/>
      <c r="G38" s="99" t="s">
        <v>169</v>
      </c>
      <c r="H38" s="52" t="s">
        <v>81</v>
      </c>
      <c r="I38" s="94">
        <v>2403885</v>
      </c>
      <c r="J38" s="81">
        <f>916143</f>
        <v>916143</v>
      </c>
      <c r="K38" s="15"/>
      <c r="L38" s="15"/>
    </row>
    <row r="39" spans="1:12" s="25" customFormat="1" ht="12.75" customHeight="1" x14ac:dyDescent="0.2">
      <c r="A39" s="92"/>
      <c r="B39" s="35" t="s">
        <v>87</v>
      </c>
      <c r="C39" s="52" t="s">
        <v>81</v>
      </c>
      <c r="D39" s="198">
        <v>2715411</v>
      </c>
      <c r="E39" s="198">
        <f>831153</f>
        <v>831153</v>
      </c>
      <c r="F39" s="75"/>
      <c r="G39" s="99" t="s">
        <v>167</v>
      </c>
      <c r="H39" s="52" t="s">
        <v>229</v>
      </c>
      <c r="I39" s="94">
        <v>39921271</v>
      </c>
      <c r="J39" s="81">
        <f>40997261</f>
        <v>40997261</v>
      </c>
      <c r="K39" s="15"/>
      <c r="L39" s="15"/>
    </row>
    <row r="40" spans="1:12" s="25" customFormat="1" ht="12.75" customHeight="1" x14ac:dyDescent="0.2">
      <c r="A40" s="92"/>
      <c r="B40" s="102" t="s">
        <v>134</v>
      </c>
      <c r="C40" s="215"/>
      <c r="D40" s="194">
        <v>1670066</v>
      </c>
      <c r="E40" s="194">
        <f>(579384+18598)</f>
        <v>597982</v>
      </c>
      <c r="F40" s="75"/>
      <c r="G40" s="36" t="s">
        <v>56</v>
      </c>
      <c r="H40" s="52"/>
      <c r="I40" s="220">
        <f>+SUM(I41:I46)</f>
        <v>70946624</v>
      </c>
      <c r="J40" s="247">
        <f>+SUM(J41:J46)</f>
        <v>76409279</v>
      </c>
      <c r="K40" s="15"/>
      <c r="L40" s="15"/>
    </row>
    <row r="41" spans="1:12" s="25" customFormat="1" ht="12.75" customHeight="1" x14ac:dyDescent="0.2">
      <c r="A41" s="92"/>
      <c r="B41" s="102" t="s">
        <v>135</v>
      </c>
      <c r="C41" s="214" t="s">
        <v>140</v>
      </c>
      <c r="D41" s="194">
        <v>15178573</v>
      </c>
      <c r="E41" s="194">
        <v>20217643</v>
      </c>
      <c r="F41" s="75"/>
      <c r="G41" s="35" t="s">
        <v>14</v>
      </c>
      <c r="H41" s="52" t="s">
        <v>229</v>
      </c>
      <c r="I41" s="205">
        <v>19750773</v>
      </c>
      <c r="J41" s="248">
        <f>28965371</f>
        <v>28965371</v>
      </c>
      <c r="K41" s="15"/>
      <c r="L41" s="15"/>
    </row>
    <row r="42" spans="1:12" s="21" customFormat="1" ht="12.75" customHeight="1" x14ac:dyDescent="0.2">
      <c r="A42" s="92"/>
      <c r="B42" s="216" t="s">
        <v>174</v>
      </c>
      <c r="C42" s="214"/>
      <c r="D42" s="193">
        <f>+D43+D44</f>
        <v>181507</v>
      </c>
      <c r="E42" s="193">
        <f>+E43+E44</f>
        <v>754500</v>
      </c>
      <c r="F42" s="75"/>
      <c r="G42" s="35" t="s">
        <v>136</v>
      </c>
      <c r="H42" s="52" t="s">
        <v>230</v>
      </c>
      <c r="I42" s="205">
        <v>595435</v>
      </c>
      <c r="J42" s="248">
        <f>2268772</f>
        <v>2268772</v>
      </c>
      <c r="K42" s="20"/>
      <c r="L42" s="20"/>
    </row>
    <row r="43" spans="1:12" ht="12.75" customHeight="1" x14ac:dyDescent="0.2">
      <c r="A43" s="92"/>
      <c r="B43" s="223" t="s">
        <v>8</v>
      </c>
      <c r="C43" s="214" t="s">
        <v>179</v>
      </c>
      <c r="D43" s="237">
        <v>181192</v>
      </c>
      <c r="E43" s="194">
        <f>754500</f>
        <v>754500</v>
      </c>
      <c r="F43" s="75"/>
      <c r="G43" s="35" t="s">
        <v>137</v>
      </c>
      <c r="H43" s="52" t="s">
        <v>229</v>
      </c>
      <c r="I43" s="205">
        <v>16994387</v>
      </c>
      <c r="J43" s="248">
        <f>21188624</f>
        <v>21188624</v>
      </c>
      <c r="K43" s="20"/>
      <c r="L43" s="20"/>
    </row>
    <row r="44" spans="1:12" x14ac:dyDescent="0.2">
      <c r="A44" s="92"/>
      <c r="B44" s="223" t="s">
        <v>213</v>
      </c>
      <c r="C44" s="216"/>
      <c r="D44" s="238">
        <v>315</v>
      </c>
      <c r="E44" s="228">
        <v>0</v>
      </c>
      <c r="F44" s="36"/>
      <c r="G44" s="35" t="s">
        <v>138</v>
      </c>
      <c r="H44" s="52"/>
      <c r="I44" s="205">
        <v>12876145</v>
      </c>
      <c r="J44" s="248">
        <f>8458220</f>
        <v>8458220</v>
      </c>
      <c r="K44" s="22"/>
      <c r="L44" s="22"/>
    </row>
    <row r="45" spans="1:12" ht="15" customHeight="1" x14ac:dyDescent="0.2">
      <c r="A45" s="92"/>
      <c r="B45" s="216" t="s">
        <v>178</v>
      </c>
      <c r="C45" s="214" t="s">
        <v>45</v>
      </c>
      <c r="D45" s="193">
        <v>9642005</v>
      </c>
      <c r="E45" s="193">
        <f>10102837</f>
        <v>10102837</v>
      </c>
      <c r="F45" s="36"/>
      <c r="G45" s="35" t="s">
        <v>135</v>
      </c>
      <c r="H45" s="52" t="s">
        <v>140</v>
      </c>
      <c r="I45" s="205">
        <v>19585724</v>
      </c>
      <c r="J45" s="248">
        <f>15310852</f>
        <v>15310852</v>
      </c>
      <c r="K45" s="23"/>
      <c r="L45" s="23"/>
    </row>
    <row r="46" spans="1:12" x14ac:dyDescent="0.2">
      <c r="A46" s="92"/>
      <c r="B46" s="216" t="s">
        <v>15</v>
      </c>
      <c r="C46" s="214"/>
      <c r="D46" s="229">
        <v>2088087</v>
      </c>
      <c r="E46" s="229">
        <f>1148430</f>
        <v>1148430</v>
      </c>
      <c r="F46" s="36"/>
      <c r="G46" s="35" t="s">
        <v>214</v>
      </c>
      <c r="H46" s="52"/>
      <c r="I46" s="205">
        <v>1144160</v>
      </c>
      <c r="J46" s="248">
        <f>217440</f>
        <v>217440</v>
      </c>
      <c r="K46" s="21"/>
      <c r="L46" s="21"/>
    </row>
    <row r="47" spans="1:12" x14ac:dyDescent="0.2">
      <c r="A47" s="92"/>
      <c r="B47" s="216" t="s">
        <v>88</v>
      </c>
      <c r="C47" s="214" t="s">
        <v>47</v>
      </c>
      <c r="D47" s="192">
        <v>23067488</v>
      </c>
      <c r="E47" s="192">
        <f>45380059</f>
        <v>45380059</v>
      </c>
      <c r="F47" s="36"/>
      <c r="G47" s="36" t="s">
        <v>15</v>
      </c>
      <c r="H47" s="52"/>
      <c r="I47" s="206">
        <v>226247</v>
      </c>
      <c r="J47" s="189">
        <f>1342233</f>
        <v>1342233</v>
      </c>
      <c r="K47" s="23"/>
      <c r="L47" s="23"/>
    </row>
    <row r="48" spans="1:12" ht="13.5" thickBot="1" x14ac:dyDescent="0.25">
      <c r="A48" s="217"/>
      <c r="B48" s="222" t="s">
        <v>2</v>
      </c>
      <c r="C48" s="222"/>
      <c r="D48" s="230">
        <f>+D9+D32</f>
        <v>622298023</v>
      </c>
      <c r="E48" s="230">
        <f>+E9+E32</f>
        <v>539000620</v>
      </c>
      <c r="F48" s="221"/>
      <c r="G48" s="218" t="s">
        <v>16</v>
      </c>
      <c r="H48" s="219"/>
      <c r="I48" s="114">
        <f>+I9+I21+I31</f>
        <v>622298023</v>
      </c>
      <c r="J48" s="249">
        <f>+J9+J21+J31</f>
        <v>539000620</v>
      </c>
      <c r="K48" s="25"/>
      <c r="L48" s="25"/>
    </row>
    <row r="49" spans="1:10" x14ac:dyDescent="0.2">
      <c r="A49" s="35"/>
      <c r="B49" s="10"/>
      <c r="C49" s="10"/>
      <c r="D49" s="14"/>
      <c r="E49" s="14"/>
      <c r="F49" s="20"/>
      <c r="G49" s="163"/>
      <c r="H49" s="163"/>
      <c r="I49" s="14"/>
      <c r="J49" s="14"/>
    </row>
    <row r="50" spans="1:10" x14ac:dyDescent="0.2">
      <c r="A50" s="19"/>
      <c r="B50" s="19"/>
      <c r="C50" s="53"/>
      <c r="D50" s="70"/>
      <c r="E50" s="41"/>
      <c r="F50" s="19"/>
      <c r="G50" s="19"/>
      <c r="H50" s="55"/>
      <c r="I50" s="42"/>
      <c r="J50" s="42"/>
    </row>
    <row r="51" spans="1:10" ht="14.25" x14ac:dyDescent="0.2">
      <c r="A51" s="296" t="s">
        <v>216</v>
      </c>
      <c r="B51" s="296"/>
      <c r="C51" s="296"/>
      <c r="D51" s="296"/>
      <c r="E51" s="296"/>
      <c r="F51" s="296"/>
      <c r="G51" s="296"/>
      <c r="H51" s="296"/>
      <c r="I51" s="296"/>
      <c r="J51" s="296"/>
    </row>
    <row r="52" spans="1:10" ht="14.25" x14ac:dyDescent="0.2">
      <c r="A52" s="19"/>
      <c r="B52" s="19"/>
      <c r="C52" s="53"/>
      <c r="D52" s="72"/>
      <c r="E52" s="43"/>
      <c r="F52" s="19"/>
      <c r="G52" s="19"/>
      <c r="H52" s="55"/>
      <c r="I52" s="41"/>
      <c r="J52" s="41"/>
    </row>
    <row r="53" spans="1:10" x14ac:dyDescent="0.2">
      <c r="A53" s="19"/>
      <c r="B53" s="16"/>
      <c r="C53" s="10"/>
      <c r="D53" s="82"/>
      <c r="E53" s="41"/>
      <c r="F53" s="38"/>
      <c r="G53" s="44"/>
      <c r="H53" s="56"/>
      <c r="I53" s="37"/>
      <c r="J53" s="37"/>
    </row>
    <row r="54" spans="1:10" x14ac:dyDescent="0.2">
      <c r="A54" s="19"/>
      <c r="B54" s="19"/>
      <c r="C54" s="53"/>
      <c r="D54" s="71"/>
      <c r="E54" s="19"/>
      <c r="F54" s="13"/>
      <c r="G54" s="13"/>
      <c r="H54" s="57"/>
      <c r="I54" s="45"/>
      <c r="J54" s="45"/>
    </row>
    <row r="55" spans="1:10" x14ac:dyDescent="0.2">
      <c r="F55" s="7"/>
      <c r="G55" s="24"/>
      <c r="H55" s="58"/>
    </row>
    <row r="56" spans="1:10" x14ac:dyDescent="0.2">
      <c r="F56" s="7"/>
      <c r="G56" s="7"/>
      <c r="H56" s="59"/>
    </row>
    <row r="57" spans="1:10" x14ac:dyDescent="0.2">
      <c r="F57" s="7"/>
      <c r="G57" s="7"/>
      <c r="H57" s="59"/>
    </row>
    <row r="58" spans="1:10" x14ac:dyDescent="0.2">
      <c r="C58" s="51" t="s">
        <v>203</v>
      </c>
      <c r="D58" s="69">
        <f>D48-I48</f>
        <v>0</v>
      </c>
      <c r="E58" s="69">
        <f>E48-J48</f>
        <v>0</v>
      </c>
      <c r="F58" s="7"/>
      <c r="G58" s="7"/>
      <c r="H58" s="59"/>
    </row>
  </sheetData>
  <sheetProtection password="CA9D"/>
  <mergeCells count="8">
    <mergeCell ref="A51:J51"/>
    <mergeCell ref="A1:J1"/>
    <mergeCell ref="A4:J4"/>
    <mergeCell ref="A3:J3"/>
    <mergeCell ref="D6:D7"/>
    <mergeCell ref="E6:E7"/>
    <mergeCell ref="I6:I7"/>
    <mergeCell ref="J6:J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7" orientation="landscape" useFirstPageNumber="1" horizontalDpi="1200" verticalDpi="12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4"/>
  <sheetViews>
    <sheetView topLeftCell="A10" zoomScaleNormal="100" zoomScaleSheetLayoutView="100" workbookViewId="0">
      <selection activeCell="D10" sqref="D10:E55"/>
    </sheetView>
  </sheetViews>
  <sheetFormatPr baseColWidth="10" defaultColWidth="11.42578125" defaultRowHeight="15" x14ac:dyDescent="0.3"/>
  <cols>
    <col min="1" max="1" width="0.85546875" style="2" customWidth="1"/>
    <col min="2" max="2" width="65.85546875" style="2" bestFit="1" customWidth="1"/>
    <col min="3" max="3" width="11.7109375" style="60" customWidth="1"/>
    <col min="4" max="5" width="12" style="2" customWidth="1"/>
    <col min="6" max="6" width="11.28515625" style="2" customWidth="1"/>
    <col min="7" max="16384" width="11.42578125" style="2"/>
  </cols>
  <sheetData>
    <row r="1" spans="1:12" s="27" customFormat="1" ht="36.75" customHeight="1" x14ac:dyDescent="0.3">
      <c r="A1" s="304" t="s">
        <v>160</v>
      </c>
      <c r="B1" s="304"/>
      <c r="C1" s="304"/>
      <c r="D1" s="304"/>
      <c r="E1" s="304"/>
      <c r="F1" s="26"/>
      <c r="G1" s="26"/>
      <c r="H1" s="26"/>
      <c r="I1" s="26"/>
      <c r="J1" s="26"/>
      <c r="K1" s="26"/>
      <c r="L1" s="26"/>
    </row>
    <row r="2" spans="1:12" s="30" customFormat="1" ht="16.5" x14ac:dyDescent="0.3">
      <c r="A2" s="28"/>
      <c r="B2" s="28"/>
      <c r="C2" s="62"/>
      <c r="D2" s="28"/>
      <c r="E2" s="28"/>
      <c r="F2" s="28"/>
      <c r="G2" s="28"/>
      <c r="H2" s="28"/>
      <c r="I2" s="28"/>
      <c r="J2" s="28"/>
      <c r="K2" s="28"/>
      <c r="L2" s="28"/>
    </row>
    <row r="3" spans="1:12" s="30" customFormat="1" ht="16.5" x14ac:dyDescent="0.3">
      <c r="A3" s="299" t="s">
        <v>219</v>
      </c>
      <c r="B3" s="299"/>
      <c r="C3" s="299"/>
      <c r="D3" s="299"/>
      <c r="E3" s="299"/>
      <c r="F3" s="28"/>
      <c r="G3" s="28"/>
      <c r="H3" s="28"/>
      <c r="I3" s="28"/>
      <c r="J3" s="28"/>
      <c r="K3" s="28"/>
      <c r="L3" s="28"/>
    </row>
    <row r="4" spans="1:12" s="32" customFormat="1" ht="15.75" x14ac:dyDescent="0.25">
      <c r="A4" s="298" t="s">
        <v>42</v>
      </c>
      <c r="B4" s="298"/>
      <c r="C4" s="298"/>
      <c r="D4" s="298"/>
      <c r="E4" s="298"/>
      <c r="F4" s="31"/>
      <c r="G4" s="31"/>
      <c r="H4" s="31"/>
      <c r="I4" s="31"/>
      <c r="J4" s="31"/>
      <c r="K4" s="31"/>
      <c r="L4" s="31"/>
    </row>
    <row r="5" spans="1:12" ht="14.25" thickBot="1" x14ac:dyDescent="0.3">
      <c r="A5" s="1"/>
      <c r="B5" s="1"/>
      <c r="C5" s="54"/>
      <c r="D5" s="1"/>
      <c r="E5" s="1"/>
      <c r="F5" s="1"/>
      <c r="G5" s="1"/>
      <c r="H5" s="1"/>
      <c r="I5" s="1"/>
      <c r="J5" s="1"/>
      <c r="K5" s="1"/>
      <c r="L5" s="1"/>
    </row>
    <row r="6" spans="1:12" s="201" customFormat="1" ht="14.25" x14ac:dyDescent="0.3">
      <c r="A6" s="83"/>
      <c r="B6" s="101"/>
      <c r="C6" s="61" t="s">
        <v>4</v>
      </c>
      <c r="D6" s="73" t="s">
        <v>0</v>
      </c>
      <c r="E6" s="9" t="s">
        <v>0</v>
      </c>
      <c r="F6" s="25"/>
      <c r="G6" s="25"/>
      <c r="H6" s="25"/>
      <c r="I6" s="25"/>
      <c r="J6" s="25"/>
      <c r="K6" s="25"/>
      <c r="L6" s="25"/>
    </row>
    <row r="7" spans="1:12" s="201" customFormat="1" ht="14.25" x14ac:dyDescent="0.3">
      <c r="A7" s="85"/>
      <c r="B7" s="33"/>
      <c r="C7" s="33" t="s">
        <v>5</v>
      </c>
      <c r="D7" s="74">
        <v>2015</v>
      </c>
      <c r="E7" s="48">
        <v>2014</v>
      </c>
      <c r="F7" s="25"/>
      <c r="G7" s="25"/>
      <c r="H7" s="25"/>
      <c r="I7" s="25"/>
      <c r="J7" s="25"/>
      <c r="K7" s="25"/>
      <c r="L7" s="25"/>
    </row>
    <row r="8" spans="1:12" s="202" customFormat="1" ht="13.5" customHeight="1" x14ac:dyDescent="0.25">
      <c r="A8" s="86"/>
      <c r="B8" s="102"/>
      <c r="C8" s="103"/>
      <c r="D8" s="104"/>
      <c r="E8" s="105"/>
      <c r="F8" s="21"/>
      <c r="G8" s="21"/>
      <c r="H8" s="21"/>
      <c r="I8" s="21"/>
      <c r="J8" s="21"/>
      <c r="K8" s="21"/>
      <c r="L8" s="21"/>
    </row>
    <row r="9" spans="1:12" s="201" customFormat="1" ht="13.5" customHeight="1" x14ac:dyDescent="0.3">
      <c r="A9" s="91"/>
      <c r="B9" s="14" t="s">
        <v>57</v>
      </c>
      <c r="C9" s="63"/>
      <c r="D9" s="75"/>
      <c r="E9" s="47"/>
      <c r="F9" s="25"/>
      <c r="G9" s="25"/>
      <c r="H9" s="25"/>
      <c r="I9" s="25"/>
      <c r="J9" s="25"/>
      <c r="K9" s="25"/>
      <c r="L9" s="25"/>
    </row>
    <row r="10" spans="1:12" s="201" customFormat="1" ht="13.5" customHeight="1" x14ac:dyDescent="0.3">
      <c r="A10" s="91"/>
      <c r="B10" s="14" t="s">
        <v>170</v>
      </c>
      <c r="C10" s="63" t="s">
        <v>145</v>
      </c>
      <c r="D10" s="275">
        <v>78978419</v>
      </c>
      <c r="E10" s="276">
        <f>74079897</f>
        <v>74079897</v>
      </c>
      <c r="F10" s="25"/>
      <c r="G10" s="25"/>
      <c r="H10" s="25"/>
      <c r="I10" s="25"/>
      <c r="J10" s="25"/>
      <c r="K10" s="25"/>
      <c r="L10" s="25"/>
    </row>
    <row r="11" spans="1:12" s="201" customFormat="1" ht="13.5" customHeight="1" x14ac:dyDescent="0.3">
      <c r="A11" s="91"/>
      <c r="B11" s="14" t="s">
        <v>171</v>
      </c>
      <c r="C11" s="63" t="s">
        <v>146</v>
      </c>
      <c r="D11" s="275">
        <v>-44097645</v>
      </c>
      <c r="E11" s="276">
        <f>-38534099</f>
        <v>-38534099</v>
      </c>
      <c r="F11" s="25"/>
      <c r="G11" s="25"/>
      <c r="H11" s="25"/>
      <c r="I11" s="25"/>
      <c r="J11" s="25"/>
      <c r="K11" s="25"/>
      <c r="L11" s="25"/>
    </row>
    <row r="12" spans="1:12" s="202" customFormat="1" ht="13.5" customHeight="1" x14ac:dyDescent="0.25">
      <c r="A12" s="86"/>
      <c r="B12" s="14" t="s">
        <v>206</v>
      </c>
      <c r="C12" s="63" t="s">
        <v>147</v>
      </c>
      <c r="D12" s="277">
        <f>+D13+D14</f>
        <v>344535497</v>
      </c>
      <c r="E12" s="278">
        <f>+E13+E14</f>
        <v>310234181</v>
      </c>
      <c r="F12" s="21"/>
      <c r="G12" s="203"/>
      <c r="H12" s="21"/>
      <c r="I12" s="21"/>
      <c r="J12" s="21"/>
      <c r="K12" s="21"/>
      <c r="L12" s="21"/>
    </row>
    <row r="13" spans="1:12" s="202" customFormat="1" ht="13.5" customHeight="1" x14ac:dyDescent="0.25">
      <c r="A13" s="86"/>
      <c r="B13" s="16" t="s">
        <v>17</v>
      </c>
      <c r="C13" s="63"/>
      <c r="D13" s="279">
        <v>68886012</v>
      </c>
      <c r="E13" s="280">
        <f>52482139</f>
        <v>52482139</v>
      </c>
      <c r="F13" s="21"/>
      <c r="G13" s="21"/>
      <c r="H13" s="21"/>
      <c r="I13" s="21"/>
      <c r="J13" s="21"/>
      <c r="K13" s="21"/>
      <c r="L13" s="21"/>
    </row>
    <row r="14" spans="1:12" s="202" customFormat="1" ht="13.5" customHeight="1" x14ac:dyDescent="0.25">
      <c r="A14" s="86"/>
      <c r="B14" s="16" t="s">
        <v>18</v>
      </c>
      <c r="C14" s="63"/>
      <c r="D14" s="279">
        <v>275649485</v>
      </c>
      <c r="E14" s="280">
        <f>257752042</f>
        <v>257752042</v>
      </c>
      <c r="F14" s="21"/>
      <c r="G14" s="21"/>
      <c r="H14" s="21"/>
      <c r="I14" s="21"/>
      <c r="J14" s="21"/>
      <c r="K14" s="21"/>
      <c r="L14" s="21"/>
    </row>
    <row r="15" spans="1:12" s="202" customFormat="1" ht="13.5" customHeight="1" x14ac:dyDescent="0.25">
      <c r="A15" s="86"/>
      <c r="B15" s="14" t="s">
        <v>19</v>
      </c>
      <c r="C15" s="63"/>
      <c r="D15" s="277">
        <v>-197196</v>
      </c>
      <c r="E15" s="278">
        <f>226275</f>
        <v>226275</v>
      </c>
      <c r="F15" s="21"/>
      <c r="G15" s="21"/>
      <c r="H15" s="21"/>
      <c r="I15" s="21"/>
      <c r="J15" s="21"/>
      <c r="K15" s="21"/>
      <c r="L15" s="21"/>
    </row>
    <row r="16" spans="1:12" s="202" customFormat="1" ht="13.5" customHeight="1" x14ac:dyDescent="0.25">
      <c r="A16" s="86"/>
      <c r="B16" s="14" t="s">
        <v>207</v>
      </c>
      <c r="C16" s="63" t="s">
        <v>148</v>
      </c>
      <c r="D16" s="277">
        <f>+SUM(D17:D20)</f>
        <v>-91327302</v>
      </c>
      <c r="E16" s="278">
        <f>+SUM(E17:E20)</f>
        <v>-85481572</v>
      </c>
      <c r="F16" s="21"/>
      <c r="G16" s="21"/>
      <c r="H16" s="21"/>
      <c r="I16" s="21"/>
      <c r="J16" s="21"/>
      <c r="K16" s="21"/>
      <c r="L16" s="21"/>
    </row>
    <row r="17" spans="1:12" s="202" customFormat="1" ht="13.5" customHeight="1" x14ac:dyDescent="0.25">
      <c r="A17" s="86"/>
      <c r="B17" s="16" t="s">
        <v>20</v>
      </c>
      <c r="C17" s="63"/>
      <c r="D17" s="150">
        <v>-40667042</v>
      </c>
      <c r="E17" s="281">
        <f>-40907614</f>
        <v>-40907614</v>
      </c>
      <c r="F17" s="21"/>
      <c r="G17" s="21"/>
      <c r="H17" s="21"/>
      <c r="I17" s="21"/>
      <c r="J17" s="21"/>
      <c r="K17" s="21"/>
      <c r="L17" s="21"/>
    </row>
    <row r="18" spans="1:12" s="202" customFormat="1" ht="13.5" customHeight="1" x14ac:dyDescent="0.25">
      <c r="A18" s="86"/>
      <c r="B18" s="16" t="s">
        <v>41</v>
      </c>
      <c r="C18" s="63"/>
      <c r="D18" s="150">
        <v>-12348209</v>
      </c>
      <c r="E18" s="281">
        <f>-13291112</f>
        <v>-13291112</v>
      </c>
      <c r="F18" s="21"/>
      <c r="G18" s="21"/>
      <c r="H18" s="21"/>
      <c r="I18" s="21"/>
      <c r="J18" s="21"/>
      <c r="K18" s="21"/>
      <c r="L18" s="21"/>
    </row>
    <row r="19" spans="1:12" s="202" customFormat="1" ht="13.5" customHeight="1" x14ac:dyDescent="0.25">
      <c r="A19" s="86"/>
      <c r="B19" s="16" t="s">
        <v>21</v>
      </c>
      <c r="C19" s="63"/>
      <c r="D19" s="150">
        <v>-38188111</v>
      </c>
      <c r="E19" s="281">
        <f>-31291535</f>
        <v>-31291535</v>
      </c>
      <c r="F19" s="21"/>
      <c r="G19" s="21"/>
      <c r="H19" s="21"/>
      <c r="I19" s="21"/>
      <c r="J19" s="21"/>
      <c r="K19" s="21"/>
      <c r="L19" s="21"/>
    </row>
    <row r="20" spans="1:12" s="202" customFormat="1" ht="13.5" customHeight="1" x14ac:dyDescent="0.25">
      <c r="A20" s="86"/>
      <c r="B20" s="16" t="s">
        <v>48</v>
      </c>
      <c r="C20" s="63" t="s">
        <v>89</v>
      </c>
      <c r="D20" s="282">
        <v>-123940</v>
      </c>
      <c r="E20" s="283">
        <f>8689</f>
        <v>8689</v>
      </c>
      <c r="F20" s="21"/>
      <c r="G20" s="21"/>
      <c r="H20" s="21"/>
      <c r="I20" s="21"/>
      <c r="J20" s="21"/>
      <c r="K20" s="21"/>
      <c r="L20" s="21"/>
    </row>
    <row r="21" spans="1:12" s="202" customFormat="1" ht="13.5" customHeight="1" x14ac:dyDescent="0.25">
      <c r="A21" s="91"/>
      <c r="B21" s="14" t="s">
        <v>208</v>
      </c>
      <c r="C21" s="63"/>
      <c r="D21" s="284">
        <f>+D22+D23</f>
        <v>33328114</v>
      </c>
      <c r="E21" s="285">
        <f>+E22+E23</f>
        <v>29744012</v>
      </c>
      <c r="F21" s="21"/>
      <c r="G21" s="21"/>
      <c r="H21" s="21"/>
      <c r="I21" s="21"/>
      <c r="J21" s="21"/>
      <c r="K21" s="21"/>
      <c r="L21" s="21"/>
    </row>
    <row r="22" spans="1:12" s="201" customFormat="1" ht="13.5" customHeight="1" x14ac:dyDescent="0.3">
      <c r="A22" s="86"/>
      <c r="B22" s="49" t="s">
        <v>22</v>
      </c>
      <c r="C22" s="63"/>
      <c r="D22" s="279">
        <v>4757313</v>
      </c>
      <c r="E22" s="280">
        <f>4439732</f>
        <v>4439732</v>
      </c>
      <c r="F22" s="25"/>
      <c r="G22" s="25"/>
      <c r="H22" s="25"/>
      <c r="I22" s="25"/>
      <c r="J22" s="25"/>
      <c r="K22" s="25"/>
      <c r="L22" s="25"/>
    </row>
    <row r="23" spans="1:12" s="201" customFormat="1" ht="13.5" customHeight="1" x14ac:dyDescent="0.3">
      <c r="A23" s="86"/>
      <c r="B23" s="49" t="s">
        <v>100</v>
      </c>
      <c r="C23" s="63" t="s">
        <v>149</v>
      </c>
      <c r="D23" s="279">
        <v>28570801</v>
      </c>
      <c r="E23" s="280">
        <f>25304280</f>
        <v>25304280</v>
      </c>
      <c r="F23" s="25"/>
      <c r="G23" s="25"/>
      <c r="H23" s="25"/>
      <c r="I23" s="25"/>
      <c r="J23" s="25"/>
      <c r="K23" s="25"/>
      <c r="L23" s="25"/>
    </row>
    <row r="24" spans="1:12" s="202" customFormat="1" ht="13.5" customHeight="1" x14ac:dyDescent="0.25">
      <c r="A24" s="86"/>
      <c r="B24" s="14" t="s">
        <v>209</v>
      </c>
      <c r="C24" s="63" t="s">
        <v>150</v>
      </c>
      <c r="D24" s="277">
        <f>+D25+D26</f>
        <v>-211431869</v>
      </c>
      <c r="E24" s="278">
        <f>+E25+E26</f>
        <v>-194956302</v>
      </c>
      <c r="F24" s="21"/>
      <c r="G24" s="21"/>
      <c r="H24" s="21"/>
      <c r="I24" s="21"/>
      <c r="J24" s="21"/>
      <c r="K24" s="21"/>
      <c r="L24" s="21"/>
    </row>
    <row r="25" spans="1:12" s="202" customFormat="1" ht="13.5" customHeight="1" x14ac:dyDescent="0.25">
      <c r="A25" s="86"/>
      <c r="B25" s="16" t="s">
        <v>23</v>
      </c>
      <c r="C25" s="63"/>
      <c r="D25" s="150">
        <v>-183917094</v>
      </c>
      <c r="E25" s="281">
        <f>-168801430</f>
        <v>-168801430</v>
      </c>
      <c r="F25" s="21"/>
      <c r="G25" s="21"/>
      <c r="H25" s="21"/>
      <c r="I25" s="21"/>
      <c r="J25" s="21"/>
      <c r="K25" s="21"/>
      <c r="L25" s="21"/>
    </row>
    <row r="26" spans="1:12" s="202" customFormat="1" ht="13.5" customHeight="1" x14ac:dyDescent="0.25">
      <c r="A26" s="86"/>
      <c r="B26" s="16" t="s">
        <v>24</v>
      </c>
      <c r="C26" s="63"/>
      <c r="D26" s="150">
        <v>-27514775</v>
      </c>
      <c r="E26" s="281">
        <f>-26154872</f>
        <v>-26154872</v>
      </c>
      <c r="F26" s="21"/>
      <c r="G26" s="21"/>
      <c r="H26" s="21"/>
      <c r="I26" s="21"/>
      <c r="J26" s="21"/>
      <c r="K26" s="21"/>
      <c r="L26" s="21"/>
    </row>
    <row r="27" spans="1:12" s="201" customFormat="1" ht="13.5" customHeight="1" x14ac:dyDescent="0.3">
      <c r="A27" s="91"/>
      <c r="B27" s="14" t="s">
        <v>210</v>
      </c>
      <c r="C27" s="63"/>
      <c r="D27" s="277">
        <f>+D28+D29</f>
        <v>-81015641</v>
      </c>
      <c r="E27" s="278">
        <f>+E28+E29</f>
        <v>-77218167</v>
      </c>
      <c r="F27" s="25"/>
      <c r="G27" s="25"/>
      <c r="H27" s="14"/>
      <c r="I27" s="14"/>
      <c r="J27" s="14"/>
      <c r="K27" s="14"/>
      <c r="L27" s="14"/>
    </row>
    <row r="28" spans="1:12" s="202" customFormat="1" ht="13.5" customHeight="1" x14ac:dyDescent="0.25">
      <c r="A28" s="86"/>
      <c r="B28" s="16" t="s">
        <v>25</v>
      </c>
      <c r="C28" s="52" t="s">
        <v>229</v>
      </c>
      <c r="D28" s="150">
        <v>-1982755</v>
      </c>
      <c r="E28" s="281">
        <f>-2266765</f>
        <v>-2266765</v>
      </c>
      <c r="F28" s="21"/>
      <c r="G28" s="21"/>
      <c r="H28" s="14"/>
      <c r="I28" s="14"/>
      <c r="J28" s="14"/>
      <c r="K28" s="16"/>
      <c r="L28" s="16"/>
    </row>
    <row r="29" spans="1:12" s="202" customFormat="1" ht="13.5" customHeight="1" x14ac:dyDescent="0.25">
      <c r="A29" s="86"/>
      <c r="B29" s="16" t="s">
        <v>26</v>
      </c>
      <c r="C29" s="52" t="s">
        <v>151</v>
      </c>
      <c r="D29" s="150">
        <v>-79032886</v>
      </c>
      <c r="E29" s="281">
        <f>-74951402</f>
        <v>-74951402</v>
      </c>
      <c r="F29" s="21"/>
      <c r="G29" s="21"/>
      <c r="H29" s="21"/>
      <c r="I29" s="21"/>
      <c r="J29" s="21"/>
      <c r="K29" s="21"/>
      <c r="L29" s="21"/>
    </row>
    <row r="30" spans="1:12" s="202" customFormat="1" ht="13.5" customHeight="1" x14ac:dyDescent="0.25">
      <c r="A30" s="86"/>
      <c r="B30" s="14" t="s">
        <v>27</v>
      </c>
      <c r="C30" s="52" t="s">
        <v>101</v>
      </c>
      <c r="D30" s="270">
        <v>-20826981</v>
      </c>
      <c r="E30" s="286">
        <f>-20951476</f>
        <v>-20951476</v>
      </c>
      <c r="F30" s="21"/>
      <c r="G30" s="21"/>
      <c r="H30" s="21"/>
      <c r="I30" s="21"/>
      <c r="J30" s="21"/>
      <c r="K30" s="21"/>
      <c r="L30" s="21"/>
    </row>
    <row r="31" spans="1:12" s="202" customFormat="1" ht="13.5" customHeight="1" x14ac:dyDescent="0.25">
      <c r="A31" s="86"/>
      <c r="B31" s="14" t="s">
        <v>102</v>
      </c>
      <c r="C31" s="52" t="s">
        <v>142</v>
      </c>
      <c r="D31" s="270">
        <f>1887678+18320007</f>
        <v>20207685</v>
      </c>
      <c r="E31" s="286">
        <f>2049389</f>
        <v>2049389</v>
      </c>
      <c r="F31" s="21"/>
      <c r="G31" s="21"/>
      <c r="H31" s="21"/>
      <c r="I31" s="21"/>
      <c r="J31" s="21"/>
      <c r="K31" s="21"/>
      <c r="L31" s="21"/>
    </row>
    <row r="32" spans="1:12" s="202" customFormat="1" ht="13.5" customHeight="1" x14ac:dyDescent="0.25">
      <c r="A32" s="86"/>
      <c r="B32" s="14" t="s">
        <v>103</v>
      </c>
      <c r="C32" s="52" t="s">
        <v>144</v>
      </c>
      <c r="D32" s="270">
        <v>128417</v>
      </c>
      <c r="E32" s="286">
        <f>2066594</f>
        <v>2066594</v>
      </c>
      <c r="F32" s="21"/>
      <c r="G32" s="21"/>
      <c r="H32" s="21"/>
      <c r="I32" s="21"/>
      <c r="J32" s="21"/>
      <c r="K32" s="21"/>
      <c r="L32" s="21"/>
    </row>
    <row r="33" spans="1:33" s="202" customFormat="1" ht="13.5" customHeight="1" x14ac:dyDescent="0.25">
      <c r="A33" s="86"/>
      <c r="B33" s="14" t="s">
        <v>211</v>
      </c>
      <c r="C33" s="52"/>
      <c r="D33" s="270">
        <f>+D34+D35</f>
        <v>-5537409</v>
      </c>
      <c r="E33" s="286">
        <f>+E34+E35</f>
        <v>-291018</v>
      </c>
      <c r="F33" s="21"/>
      <c r="G33" s="21"/>
      <c r="H33" s="21"/>
      <c r="I33" s="21"/>
      <c r="J33" s="21"/>
      <c r="K33" s="21"/>
      <c r="L33" s="21"/>
    </row>
    <row r="34" spans="1:33" s="202" customFormat="1" ht="13.5" customHeight="1" x14ac:dyDescent="0.25">
      <c r="A34" s="86"/>
      <c r="B34" s="16" t="s">
        <v>104</v>
      </c>
      <c r="C34" s="52" t="s">
        <v>101</v>
      </c>
      <c r="D34" s="150">
        <v>-4976868</v>
      </c>
      <c r="E34" s="281">
        <f>-362249</f>
        <v>-362249</v>
      </c>
      <c r="F34" s="21"/>
      <c r="G34" s="21"/>
      <c r="H34" s="21"/>
      <c r="I34" s="21"/>
      <c r="J34" s="21"/>
      <c r="K34" s="21"/>
      <c r="L34" s="21"/>
    </row>
    <row r="35" spans="1:33" s="202" customFormat="1" ht="13.5" customHeight="1" x14ac:dyDescent="0.25">
      <c r="A35" s="86"/>
      <c r="B35" s="49" t="s">
        <v>105</v>
      </c>
      <c r="C35" s="52" t="s">
        <v>101</v>
      </c>
      <c r="D35" s="150">
        <v>-560541</v>
      </c>
      <c r="E35" s="281">
        <f>71231</f>
        <v>71231</v>
      </c>
      <c r="F35" s="21"/>
      <c r="G35" s="21"/>
      <c r="H35" s="21"/>
      <c r="I35" s="21"/>
      <c r="J35" s="21"/>
      <c r="K35" s="21"/>
      <c r="L35" s="21"/>
    </row>
    <row r="36" spans="1:33" s="202" customFormat="1" ht="13.5" customHeight="1" x14ac:dyDescent="0.25">
      <c r="A36" s="86"/>
      <c r="B36" s="239" t="s">
        <v>225</v>
      </c>
      <c r="C36" s="52" t="s">
        <v>227</v>
      </c>
      <c r="D36" s="270">
        <f>35777480+4301430</f>
        <v>40078910</v>
      </c>
      <c r="E36" s="185">
        <v>0</v>
      </c>
      <c r="F36" s="21"/>
      <c r="G36" s="21"/>
      <c r="H36" s="21"/>
      <c r="I36" s="21"/>
      <c r="J36" s="21"/>
      <c r="K36" s="21"/>
      <c r="L36" s="21"/>
    </row>
    <row r="37" spans="1:33" s="201" customFormat="1" ht="13.5" customHeight="1" x14ac:dyDescent="0.3">
      <c r="A37" s="86"/>
      <c r="B37" s="14" t="s">
        <v>46</v>
      </c>
      <c r="C37" s="52"/>
      <c r="D37" s="266">
        <v>-77336</v>
      </c>
      <c r="E37" s="287">
        <f>-200566</f>
        <v>-200566</v>
      </c>
      <c r="F37" s="21"/>
      <c r="G37" s="21"/>
      <c r="H37" s="21"/>
      <c r="I37" s="21"/>
      <c r="J37" s="21"/>
      <c r="K37" s="21"/>
      <c r="L37" s="21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</row>
    <row r="38" spans="1:33" s="202" customFormat="1" ht="13.5" customHeight="1" x14ac:dyDescent="0.25">
      <c r="A38" s="86"/>
      <c r="B38" s="14" t="s">
        <v>28</v>
      </c>
      <c r="C38" s="52"/>
      <c r="D38" s="288">
        <f>+D10+D11+D12+D15+D16+D21+D24+D27+D30+D31+D32+D33+D37+D36</f>
        <v>62745663</v>
      </c>
      <c r="E38" s="289">
        <f>+E10+E11+E12+E15+E16+E21+E24+E27+E30+E31+E32+E33+E37</f>
        <v>767148</v>
      </c>
      <c r="F38" s="21"/>
      <c r="G38" s="21"/>
      <c r="H38" s="203"/>
      <c r="I38" s="21"/>
      <c r="J38" s="21"/>
      <c r="K38" s="21"/>
      <c r="L38" s="21"/>
    </row>
    <row r="39" spans="1:33" s="202" customFormat="1" ht="13.5" customHeight="1" x14ac:dyDescent="0.25">
      <c r="A39" s="86"/>
      <c r="B39" s="49"/>
      <c r="C39" s="52"/>
      <c r="D39" s="279"/>
      <c r="E39" s="280"/>
      <c r="F39" s="21"/>
      <c r="G39" s="21"/>
      <c r="H39" s="21"/>
      <c r="I39" s="21"/>
      <c r="J39" s="21"/>
      <c r="K39" s="21"/>
      <c r="L39" s="21"/>
    </row>
    <row r="40" spans="1:33" s="202" customFormat="1" ht="13.5" customHeight="1" x14ac:dyDescent="0.25">
      <c r="A40" s="86"/>
      <c r="B40" s="14" t="s">
        <v>181</v>
      </c>
      <c r="C40" s="63"/>
      <c r="D40" s="277">
        <f>+D41+D42</f>
        <v>1668213</v>
      </c>
      <c r="E40" s="278">
        <f>+E41+E42</f>
        <v>1425983</v>
      </c>
      <c r="F40" s="21"/>
      <c r="G40" s="21"/>
      <c r="H40" s="21"/>
      <c r="I40" s="21"/>
      <c r="J40" s="21"/>
      <c r="K40" s="21"/>
      <c r="L40" s="21"/>
    </row>
    <row r="41" spans="1:33" s="202" customFormat="1" ht="13.5" customHeight="1" x14ac:dyDescent="0.25">
      <c r="A41" s="86"/>
      <c r="B41" s="16" t="s">
        <v>106</v>
      </c>
      <c r="C41" s="63"/>
      <c r="D41" s="279">
        <v>16531</v>
      </c>
      <c r="E41" s="280">
        <f>62536</f>
        <v>62536</v>
      </c>
      <c r="F41" s="21"/>
      <c r="G41" s="21"/>
      <c r="H41" s="21"/>
      <c r="I41" s="21"/>
      <c r="J41" s="21"/>
      <c r="K41" s="21"/>
      <c r="L41" s="21"/>
    </row>
    <row r="42" spans="1:33" s="202" customFormat="1" ht="13.5" customHeight="1" x14ac:dyDescent="0.25">
      <c r="A42" s="86"/>
      <c r="B42" s="16" t="s">
        <v>107</v>
      </c>
      <c r="C42" s="52"/>
      <c r="D42" s="279">
        <v>1651682</v>
      </c>
      <c r="E42" s="280">
        <f>1363447</f>
        <v>1363447</v>
      </c>
      <c r="F42" s="21"/>
      <c r="G42" s="21"/>
      <c r="H42" s="21"/>
      <c r="I42" s="21"/>
      <c r="J42" s="21"/>
      <c r="K42" s="21"/>
      <c r="L42" s="21"/>
    </row>
    <row r="43" spans="1:33" s="202" customFormat="1" ht="13.5" customHeight="1" x14ac:dyDescent="0.25">
      <c r="A43" s="86"/>
      <c r="B43" s="14" t="s">
        <v>30</v>
      </c>
      <c r="C43" s="52" t="s">
        <v>175</v>
      </c>
      <c r="D43" s="270">
        <v>-3868850</v>
      </c>
      <c r="E43" s="286">
        <f>-5584614</f>
        <v>-5584614</v>
      </c>
      <c r="F43" s="21"/>
      <c r="G43" s="21"/>
      <c r="H43" s="21"/>
      <c r="I43" s="21"/>
      <c r="J43" s="21"/>
      <c r="K43" s="21"/>
      <c r="L43" s="21"/>
    </row>
    <row r="44" spans="1:33" s="202" customFormat="1" ht="13.5" customHeight="1" x14ac:dyDescent="0.25">
      <c r="A44" s="86"/>
      <c r="B44" s="14" t="s">
        <v>108</v>
      </c>
      <c r="C44" s="52"/>
      <c r="D44" s="270">
        <v>-152949</v>
      </c>
      <c r="E44" s="286">
        <f>86547</f>
        <v>86547</v>
      </c>
      <c r="F44" s="21"/>
      <c r="G44" s="21"/>
      <c r="H44" s="21"/>
      <c r="I44" s="21"/>
      <c r="J44" s="21"/>
      <c r="K44" s="21"/>
      <c r="L44" s="21"/>
    </row>
    <row r="45" spans="1:33" s="202" customFormat="1" ht="13.5" customHeight="1" x14ac:dyDescent="0.25">
      <c r="A45" s="86"/>
      <c r="B45" s="14" t="s">
        <v>31</v>
      </c>
      <c r="C45" s="52"/>
      <c r="D45" s="270">
        <v>-33786</v>
      </c>
      <c r="E45" s="286">
        <f>-16423</f>
        <v>-16423</v>
      </c>
      <c r="F45" s="21"/>
      <c r="G45" s="21"/>
      <c r="H45" s="21"/>
      <c r="I45" s="21"/>
      <c r="J45" s="21"/>
      <c r="K45" s="21"/>
      <c r="L45" s="21"/>
    </row>
    <row r="46" spans="1:33" s="202" customFormat="1" ht="13.5" customHeight="1" x14ac:dyDescent="0.25">
      <c r="A46" s="86"/>
      <c r="B46" s="14" t="s">
        <v>182</v>
      </c>
      <c r="C46" s="52"/>
      <c r="D46" s="270">
        <f>+D47</f>
        <v>-184009</v>
      </c>
      <c r="E46" s="286">
        <f>+E47</f>
        <v>-166789</v>
      </c>
      <c r="F46" s="21"/>
      <c r="G46" s="21"/>
      <c r="H46" s="21"/>
      <c r="I46" s="21"/>
      <c r="J46" s="21"/>
      <c r="K46" s="21"/>
      <c r="L46" s="21"/>
    </row>
    <row r="47" spans="1:33" s="202" customFormat="1" ht="13.5" customHeight="1" x14ac:dyDescent="0.25">
      <c r="A47" s="86"/>
      <c r="B47" s="16" t="s">
        <v>104</v>
      </c>
      <c r="C47" s="52"/>
      <c r="D47" s="150">
        <v>-184009</v>
      </c>
      <c r="E47" s="281">
        <f>-166789</f>
        <v>-166789</v>
      </c>
      <c r="F47" s="21"/>
      <c r="G47" s="21"/>
      <c r="H47" s="21"/>
      <c r="I47" s="21"/>
      <c r="J47" s="21"/>
      <c r="K47" s="21"/>
      <c r="L47" s="21"/>
    </row>
    <row r="48" spans="1:33" s="202" customFormat="1" ht="13.5" customHeight="1" x14ac:dyDescent="0.25">
      <c r="A48" s="86"/>
      <c r="B48" s="14" t="s">
        <v>32</v>
      </c>
      <c r="C48" s="63"/>
      <c r="D48" s="288">
        <f>+D40+D43+D44+D45+D46</f>
        <v>-2571381</v>
      </c>
      <c r="E48" s="289">
        <f>+E40+E43+E44+E45+E46</f>
        <v>-4255296</v>
      </c>
      <c r="F48" s="21"/>
      <c r="G48" s="21"/>
      <c r="H48" s="21"/>
      <c r="I48" s="21"/>
      <c r="J48" s="21"/>
      <c r="K48" s="21"/>
      <c r="L48" s="21"/>
    </row>
    <row r="49" spans="1:12" s="202" customFormat="1" ht="13.5" customHeight="1" x14ac:dyDescent="0.25">
      <c r="A49" s="86"/>
      <c r="B49" s="14" t="s">
        <v>109</v>
      </c>
      <c r="C49" s="63" t="s">
        <v>152</v>
      </c>
      <c r="D49" s="277">
        <v>1198682</v>
      </c>
      <c r="E49" s="278">
        <f>316187</f>
        <v>316187</v>
      </c>
      <c r="F49" s="21"/>
      <c r="G49" s="21"/>
      <c r="H49" s="21"/>
      <c r="I49" s="21"/>
      <c r="J49" s="21"/>
      <c r="K49" s="21"/>
      <c r="L49" s="21"/>
    </row>
    <row r="50" spans="1:12" s="202" customFormat="1" ht="13.5" customHeight="1" x14ac:dyDescent="0.25">
      <c r="A50" s="86"/>
      <c r="B50" s="14" t="s">
        <v>33</v>
      </c>
      <c r="C50" s="63"/>
      <c r="D50" s="288">
        <f>+D38+D48+D49</f>
        <v>61372964</v>
      </c>
      <c r="E50" s="289">
        <f>+E38+E48+E49</f>
        <v>-3171961</v>
      </c>
      <c r="F50" s="21"/>
      <c r="G50" s="21"/>
      <c r="H50" s="21"/>
      <c r="I50" s="21"/>
      <c r="J50" s="21"/>
      <c r="K50" s="21"/>
      <c r="L50" s="21"/>
    </row>
    <row r="51" spans="1:12" s="202" customFormat="1" ht="13.5" customHeight="1" x14ac:dyDescent="0.25">
      <c r="A51" s="86"/>
      <c r="B51" s="16" t="s">
        <v>58</v>
      </c>
      <c r="C51" s="63" t="s">
        <v>139</v>
      </c>
      <c r="D51" s="290">
        <v>-1125331</v>
      </c>
      <c r="E51" s="291">
        <f>1685010</f>
        <v>1685010</v>
      </c>
      <c r="F51" s="21"/>
      <c r="G51" s="21"/>
      <c r="H51" s="21"/>
      <c r="I51" s="21"/>
      <c r="J51" s="21"/>
      <c r="K51" s="21"/>
      <c r="L51" s="21"/>
    </row>
    <row r="52" spans="1:12" s="202" customFormat="1" ht="13.5" customHeight="1" x14ac:dyDescent="0.25">
      <c r="A52" s="86"/>
      <c r="B52" s="14" t="s">
        <v>34</v>
      </c>
      <c r="C52" s="63"/>
      <c r="D52" s="288">
        <f>+D50+D51</f>
        <v>60247633</v>
      </c>
      <c r="E52" s="289">
        <f>+E50+E51</f>
        <v>-1486951</v>
      </c>
      <c r="F52" s="21"/>
      <c r="G52" s="21"/>
      <c r="H52" s="21"/>
      <c r="I52" s="21"/>
      <c r="J52" s="21"/>
      <c r="K52" s="21"/>
      <c r="L52" s="21"/>
    </row>
    <row r="53" spans="1:12" s="202" customFormat="1" ht="13.5" customHeight="1" x14ac:dyDescent="0.25">
      <c r="A53" s="91"/>
      <c r="B53" s="36" t="s">
        <v>110</v>
      </c>
      <c r="C53" s="63"/>
      <c r="D53" s="288">
        <f>+D52</f>
        <v>60247633</v>
      </c>
      <c r="E53" s="289">
        <f>+E52</f>
        <v>-1486951</v>
      </c>
      <c r="F53" s="21"/>
      <c r="G53" s="21"/>
      <c r="H53" s="21"/>
      <c r="I53" s="21"/>
      <c r="J53" s="21"/>
      <c r="K53" s="21"/>
      <c r="L53" s="21"/>
    </row>
    <row r="54" spans="1:12" s="202" customFormat="1" ht="13.5" customHeight="1" x14ac:dyDescent="0.25">
      <c r="A54" s="91"/>
      <c r="B54" s="35" t="s">
        <v>204</v>
      </c>
      <c r="C54" s="63" t="s">
        <v>97</v>
      </c>
      <c r="D54" s="292">
        <f>D53-D55</f>
        <v>59753779</v>
      </c>
      <c r="E54" s="293">
        <f>-1409808</f>
        <v>-1409808</v>
      </c>
      <c r="F54" s="21"/>
      <c r="G54" s="21"/>
      <c r="H54" s="21"/>
      <c r="I54" s="21"/>
      <c r="J54" s="21"/>
      <c r="K54" s="21"/>
      <c r="L54" s="21"/>
    </row>
    <row r="55" spans="1:12" s="201" customFormat="1" ht="13.5" customHeight="1" thickBot="1" x14ac:dyDescent="0.35">
      <c r="A55" s="106"/>
      <c r="B55" s="118" t="s">
        <v>111</v>
      </c>
      <c r="C55" s="64" t="s">
        <v>143</v>
      </c>
      <c r="D55" s="273">
        <v>493854</v>
      </c>
      <c r="E55" s="294">
        <f>-77143</f>
        <v>-77143</v>
      </c>
      <c r="F55" s="25"/>
      <c r="G55" s="25"/>
      <c r="H55" s="25"/>
      <c r="I55" s="25"/>
      <c r="J55" s="25"/>
      <c r="K55" s="25"/>
      <c r="L55" s="25"/>
    </row>
    <row r="56" spans="1:12" s="12" customFormat="1" ht="13.5" customHeight="1" x14ac:dyDescent="0.3">
      <c r="A56" s="14"/>
      <c r="B56" s="16"/>
      <c r="C56" s="65"/>
      <c r="D56" s="6"/>
      <c r="E56" s="6"/>
      <c r="F56" s="11"/>
      <c r="G56" s="11"/>
      <c r="H56" s="11"/>
      <c r="I56" s="11"/>
      <c r="J56" s="11"/>
      <c r="K56" s="11"/>
      <c r="L56" s="11"/>
    </row>
    <row r="57" spans="1:12" s="32" customFormat="1" ht="28.15" customHeight="1" x14ac:dyDescent="0.25">
      <c r="A57" s="305" t="s">
        <v>218</v>
      </c>
      <c r="B57" s="305"/>
      <c r="C57" s="305"/>
      <c r="D57" s="305"/>
      <c r="E57" s="305"/>
      <c r="F57" s="31"/>
      <c r="G57" s="31"/>
      <c r="H57" s="31"/>
      <c r="I57" s="31"/>
      <c r="J57" s="31"/>
      <c r="K57" s="31"/>
      <c r="L57" s="31"/>
    </row>
    <row r="58" spans="1:12" ht="15.75" x14ac:dyDescent="0.25">
      <c r="A58" s="1"/>
      <c r="B58" s="4"/>
      <c r="C58" s="66"/>
      <c r="D58" s="5"/>
      <c r="E58" s="5"/>
      <c r="F58" s="1"/>
      <c r="G58" s="1"/>
      <c r="H58" s="1"/>
      <c r="I58" s="1"/>
      <c r="J58" s="1"/>
      <c r="K58" s="1"/>
      <c r="L58" s="1"/>
    </row>
    <row r="59" spans="1:12" ht="15.75" x14ac:dyDescent="0.25">
      <c r="A59" s="5"/>
      <c r="B59" s="39"/>
      <c r="C59" s="62"/>
      <c r="D59" s="39"/>
      <c r="E59" s="39"/>
      <c r="F59" s="1"/>
      <c r="G59" s="1"/>
      <c r="H59" s="1"/>
      <c r="I59" s="1"/>
      <c r="J59" s="1"/>
      <c r="K59" s="1"/>
      <c r="L59" s="1"/>
    </row>
    <row r="60" spans="1:12" ht="13.5" x14ac:dyDescent="0.25">
      <c r="A60" s="1"/>
      <c r="B60" s="1"/>
      <c r="C60" s="54"/>
      <c r="D60" s="1"/>
      <c r="E60" s="1"/>
      <c r="F60" s="1"/>
      <c r="G60" s="1"/>
      <c r="H60" s="1"/>
      <c r="I60" s="1"/>
      <c r="J60" s="1"/>
      <c r="K60" s="1"/>
      <c r="L60" s="1"/>
    </row>
    <row r="61" spans="1:12" ht="13.5" x14ac:dyDescent="0.25">
      <c r="A61" s="1"/>
      <c r="B61" s="1"/>
      <c r="C61" s="54"/>
      <c r="D61" s="1"/>
      <c r="E61" s="1"/>
      <c r="F61" s="1"/>
      <c r="G61" s="1"/>
      <c r="H61" s="1"/>
      <c r="I61" s="1"/>
      <c r="J61" s="1"/>
      <c r="K61" s="1"/>
      <c r="L61" s="1"/>
    </row>
    <row r="62" spans="1:12" ht="13.5" x14ac:dyDescent="0.25">
      <c r="A62" s="1"/>
      <c r="B62" s="1"/>
      <c r="C62" s="54"/>
      <c r="D62" s="1"/>
      <c r="E62" s="1"/>
      <c r="F62" s="1"/>
      <c r="G62" s="1"/>
      <c r="H62" s="1"/>
      <c r="I62" s="1"/>
      <c r="J62" s="1"/>
      <c r="K62" s="1"/>
      <c r="L62" s="1"/>
    </row>
    <row r="63" spans="1:12" ht="13.5" x14ac:dyDescent="0.25">
      <c r="A63" s="1"/>
      <c r="B63" s="1"/>
      <c r="C63" s="54"/>
      <c r="D63" s="1"/>
      <c r="E63" s="1"/>
      <c r="F63" s="1"/>
      <c r="G63" s="1"/>
      <c r="H63" s="1"/>
      <c r="I63" s="1"/>
      <c r="J63" s="1"/>
      <c r="K63" s="1"/>
      <c r="L63" s="1"/>
    </row>
    <row r="64" spans="1:12" ht="13.5" x14ac:dyDescent="0.25">
      <c r="A64" s="1"/>
      <c r="B64" s="1"/>
      <c r="C64" s="54"/>
      <c r="D64" s="1"/>
      <c r="E64" s="1"/>
      <c r="F64" s="1"/>
      <c r="G64" s="1"/>
      <c r="H64" s="1"/>
      <c r="I64" s="1"/>
      <c r="J64" s="1"/>
      <c r="K64" s="1"/>
      <c r="L64" s="1"/>
    </row>
    <row r="65" spans="1:12" ht="13.5" x14ac:dyDescent="0.25">
      <c r="A65" s="1"/>
      <c r="B65" s="1"/>
      <c r="C65" s="54"/>
      <c r="D65" s="1"/>
      <c r="E65" s="1"/>
      <c r="F65" s="1"/>
      <c r="G65" s="1"/>
      <c r="H65" s="1"/>
      <c r="I65" s="1"/>
      <c r="J65" s="1"/>
      <c r="K65" s="1"/>
      <c r="L65" s="1"/>
    </row>
    <row r="66" spans="1:12" ht="13.5" x14ac:dyDescent="0.25">
      <c r="A66" s="1"/>
      <c r="B66" s="1"/>
      <c r="C66" s="54"/>
      <c r="D66" s="1"/>
      <c r="E66" s="1"/>
      <c r="F66" s="1"/>
      <c r="G66" s="1"/>
      <c r="H66" s="1"/>
      <c r="I66" s="1"/>
      <c r="J66" s="1"/>
      <c r="K66" s="1"/>
      <c r="L66" s="1"/>
    </row>
    <row r="67" spans="1:12" ht="13.5" x14ac:dyDescent="0.25">
      <c r="A67" s="1"/>
      <c r="B67" s="1"/>
      <c r="C67" s="54"/>
      <c r="D67" s="1"/>
      <c r="E67" s="1"/>
      <c r="F67" s="1"/>
      <c r="G67" s="1"/>
      <c r="H67" s="1"/>
      <c r="I67" s="1"/>
      <c r="J67" s="1"/>
      <c r="K67" s="1"/>
      <c r="L67" s="1"/>
    </row>
    <row r="68" spans="1:12" ht="13.5" x14ac:dyDescent="0.25">
      <c r="A68" s="1"/>
      <c r="B68" s="1"/>
      <c r="C68" s="54"/>
      <c r="D68" s="1"/>
      <c r="E68" s="1"/>
      <c r="F68" s="1"/>
      <c r="G68" s="1"/>
      <c r="H68" s="1"/>
      <c r="I68" s="1"/>
      <c r="J68" s="1"/>
      <c r="K68" s="1"/>
      <c r="L68" s="1"/>
    </row>
    <row r="69" spans="1:12" ht="13.5" x14ac:dyDescent="0.25">
      <c r="A69" s="1"/>
      <c r="B69" s="1"/>
      <c r="C69" s="54"/>
      <c r="D69" s="1"/>
      <c r="E69" s="1"/>
      <c r="F69" s="1"/>
      <c r="G69" s="1"/>
      <c r="H69" s="1"/>
      <c r="I69" s="1"/>
      <c r="J69" s="1"/>
      <c r="K69" s="1"/>
      <c r="L69" s="1"/>
    </row>
    <row r="70" spans="1:12" ht="13.5" x14ac:dyDescent="0.25">
      <c r="A70" s="1"/>
      <c r="B70" s="1"/>
      <c r="C70" s="54"/>
      <c r="D70" s="1"/>
      <c r="E70" s="1"/>
      <c r="F70" s="1"/>
      <c r="G70" s="1"/>
      <c r="H70" s="1"/>
      <c r="I70" s="1"/>
      <c r="J70" s="1"/>
      <c r="K70" s="1"/>
      <c r="L70" s="1"/>
    </row>
    <row r="71" spans="1:12" ht="13.5" x14ac:dyDescent="0.25">
      <c r="A71" s="1"/>
      <c r="B71" s="1"/>
      <c r="C71" s="54"/>
      <c r="D71" s="1"/>
      <c r="E71" s="1"/>
      <c r="F71" s="1"/>
      <c r="G71" s="1"/>
      <c r="H71" s="1"/>
      <c r="I71" s="1"/>
      <c r="J71" s="1"/>
      <c r="K71" s="1"/>
      <c r="L71" s="1"/>
    </row>
    <row r="72" spans="1:12" ht="13.5" x14ac:dyDescent="0.25">
      <c r="A72" s="1"/>
      <c r="B72" s="1"/>
      <c r="C72" s="54"/>
      <c r="D72" s="1"/>
      <c r="E72" s="1"/>
    </row>
    <row r="73" spans="1:12" ht="13.5" x14ac:dyDescent="0.25">
      <c r="A73" s="1"/>
      <c r="B73" s="1"/>
      <c r="C73" s="54"/>
      <c r="D73" s="1"/>
      <c r="E73" s="1"/>
    </row>
    <row r="74" spans="1:12" x14ac:dyDescent="0.3">
      <c r="A74" s="1"/>
    </row>
  </sheetData>
  <mergeCells count="4">
    <mergeCell ref="A3:E3"/>
    <mergeCell ref="A1:E1"/>
    <mergeCell ref="A4:E4"/>
    <mergeCell ref="A57:E57"/>
  </mergeCells>
  <phoneticPr fontId="0" type="noConversion"/>
  <printOptions horizontalCentered="1" verticalCentered="1"/>
  <pageMargins left="0.39370078740157483" right="0.39370078740157483" top="0.78740157480314965" bottom="0.59055118110236227" header="0.39370078740157483" footer="0.39370078740157483"/>
  <pageSetup paperSize="9" scale="85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64"/>
  <sheetViews>
    <sheetView tabSelected="1" zoomScaleNormal="100" zoomScaleSheetLayoutView="100" workbookViewId="0">
      <selection activeCell="B24" sqref="B24"/>
    </sheetView>
  </sheetViews>
  <sheetFormatPr baseColWidth="10" defaultColWidth="11.42578125" defaultRowHeight="13.5" x14ac:dyDescent="0.2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19" customWidth="1"/>
    <col min="5" max="5" width="13.7109375" style="40" hidden="1" customWidth="1"/>
    <col min="6" max="6" width="15.28515625" style="40" customWidth="1"/>
    <col min="7" max="7" width="11.28515625" style="2" customWidth="1"/>
    <col min="8" max="9" width="11.7109375" style="2" customWidth="1"/>
    <col min="10" max="12" width="13.7109375" style="2" customWidth="1"/>
    <col min="13" max="16384" width="11.42578125" style="2"/>
  </cols>
  <sheetData>
    <row r="1" spans="1:12" s="27" customFormat="1" ht="36" customHeight="1" x14ac:dyDescent="0.3">
      <c r="A1" s="304" t="s">
        <v>199</v>
      </c>
      <c r="B1" s="309"/>
      <c r="C1" s="309"/>
      <c r="D1" s="309"/>
      <c r="E1" s="309"/>
      <c r="F1" s="309"/>
      <c r="G1" s="309"/>
      <c r="H1" s="309"/>
      <c r="I1" s="309"/>
      <c r="J1" s="181"/>
      <c r="K1" s="181"/>
      <c r="L1" s="181"/>
    </row>
    <row r="2" spans="1:12" s="30" customFormat="1" ht="16.5" x14ac:dyDescent="0.3">
      <c r="A2" s="28"/>
      <c r="B2" s="28"/>
      <c r="C2" s="28"/>
      <c r="D2" s="62"/>
      <c r="E2" s="29"/>
      <c r="F2" s="29"/>
      <c r="G2" s="28"/>
      <c r="H2" s="28"/>
      <c r="I2" s="28"/>
      <c r="J2" s="28"/>
      <c r="K2" s="28"/>
    </row>
    <row r="3" spans="1:12" s="30" customFormat="1" ht="16.5" x14ac:dyDescent="0.3">
      <c r="A3" s="299" t="s">
        <v>220</v>
      </c>
      <c r="B3" s="299"/>
      <c r="C3" s="299"/>
      <c r="D3" s="299"/>
      <c r="E3" s="299"/>
      <c r="F3" s="299"/>
      <c r="G3" s="299"/>
      <c r="H3" s="299"/>
      <c r="I3" s="299"/>
      <c r="J3" s="182"/>
      <c r="K3" s="182"/>
      <c r="L3" s="182"/>
    </row>
    <row r="4" spans="1:12" s="132" customFormat="1" ht="15" customHeight="1" x14ac:dyDescent="0.25">
      <c r="A4" s="299" t="s">
        <v>238</v>
      </c>
      <c r="B4" s="299"/>
      <c r="C4" s="299"/>
      <c r="D4" s="299"/>
      <c r="E4" s="299"/>
      <c r="F4" s="299"/>
      <c r="G4" s="299"/>
      <c r="H4" s="299"/>
      <c r="I4" s="299"/>
    </row>
    <row r="5" spans="1:12" s="32" customFormat="1" ht="15.75" x14ac:dyDescent="0.25">
      <c r="A5" s="298" t="s">
        <v>42</v>
      </c>
      <c r="B5" s="298"/>
      <c r="C5" s="298"/>
      <c r="D5" s="298"/>
      <c r="E5" s="298"/>
      <c r="F5" s="298"/>
      <c r="G5" s="298"/>
      <c r="H5" s="298"/>
      <c r="I5" s="298"/>
      <c r="J5" s="132"/>
      <c r="K5" s="132"/>
      <c r="L5" s="132"/>
    </row>
    <row r="6" spans="1:12" ht="14.25" thickBot="1" x14ac:dyDescent="0.3">
      <c r="A6" s="1"/>
      <c r="B6" s="1"/>
      <c r="C6" s="1"/>
      <c r="D6" s="51"/>
      <c r="E6" s="19"/>
      <c r="F6" s="19"/>
      <c r="G6" s="1"/>
      <c r="H6" s="1"/>
      <c r="I6" s="1"/>
      <c r="J6" s="1"/>
      <c r="K6" s="1"/>
    </row>
    <row r="7" spans="1:12" s="12" customFormat="1" ht="12.75" customHeight="1" x14ac:dyDescent="0.3">
      <c r="A7" s="133"/>
      <c r="B7" s="134"/>
      <c r="C7" s="134"/>
      <c r="D7" s="135"/>
      <c r="E7" s="135"/>
      <c r="F7" s="135"/>
      <c r="G7" s="109" t="s">
        <v>4</v>
      </c>
      <c r="H7" s="8" t="s">
        <v>0</v>
      </c>
      <c r="I7" s="9" t="s">
        <v>0</v>
      </c>
    </row>
    <row r="8" spans="1:12" s="12" customFormat="1" ht="12.75" customHeight="1" x14ac:dyDescent="0.3">
      <c r="A8" s="141"/>
      <c r="B8" s="142"/>
      <c r="C8" s="142"/>
      <c r="D8" s="143"/>
      <c r="E8" s="143"/>
      <c r="F8" s="143"/>
      <c r="G8" s="113" t="s">
        <v>5</v>
      </c>
      <c r="H8" s="46">
        <v>2015</v>
      </c>
      <c r="I8" s="48">
        <v>2014</v>
      </c>
    </row>
    <row r="9" spans="1:12" ht="12.75" customHeight="1" x14ac:dyDescent="0.25">
      <c r="A9" s="137"/>
      <c r="B9" s="138"/>
      <c r="C9" s="138"/>
      <c r="D9" s="7"/>
      <c r="E9" s="7"/>
      <c r="F9" s="7"/>
      <c r="G9" s="117"/>
      <c r="H9" s="79"/>
      <c r="I9" s="80"/>
    </row>
    <row r="10" spans="1:12" s="12" customFormat="1" ht="14.25" customHeight="1" x14ac:dyDescent="0.3">
      <c r="A10" s="136"/>
      <c r="B10" s="14" t="s">
        <v>154</v>
      </c>
      <c r="C10" s="14"/>
      <c r="D10" s="34"/>
      <c r="E10" s="34"/>
      <c r="F10" s="34"/>
      <c r="G10" s="63"/>
      <c r="H10" s="164">
        <f>+'P&amp;L'!D53</f>
        <v>60247633</v>
      </c>
      <c r="I10" s="96">
        <f>+'P&amp;L'!E53</f>
        <v>-1486951</v>
      </c>
    </row>
    <row r="11" spans="1:12" ht="12.75" customHeight="1" x14ac:dyDescent="0.25">
      <c r="A11" s="137"/>
      <c r="B11" s="16"/>
      <c r="C11" s="16"/>
      <c r="D11" s="7"/>
      <c r="E11" s="7"/>
      <c r="F11" s="7"/>
      <c r="G11" s="117"/>
      <c r="H11" s="79"/>
      <c r="I11" s="80"/>
    </row>
    <row r="12" spans="1:12" ht="12.75" customHeight="1" x14ac:dyDescent="0.25">
      <c r="A12" s="137"/>
      <c r="B12" s="14" t="s">
        <v>114</v>
      </c>
      <c r="C12" s="14"/>
      <c r="D12" s="7"/>
      <c r="E12" s="7"/>
      <c r="F12" s="7"/>
      <c r="G12" s="63"/>
      <c r="H12" s="79"/>
      <c r="I12" s="80"/>
    </row>
    <row r="13" spans="1:12" ht="12.75" customHeight="1" x14ac:dyDescent="0.25">
      <c r="A13" s="137"/>
      <c r="B13" s="14" t="s">
        <v>112</v>
      </c>
      <c r="C13" s="16"/>
      <c r="D13" s="7"/>
      <c r="E13" s="7"/>
      <c r="F13" s="7"/>
      <c r="G13" s="63"/>
      <c r="H13" s="79">
        <v>971859</v>
      </c>
      <c r="I13" s="80">
        <v>7059822</v>
      </c>
    </row>
    <row r="14" spans="1:12" ht="12.75" customHeight="1" x14ac:dyDescent="0.25">
      <c r="A14" s="137"/>
      <c r="B14" s="14" t="s">
        <v>113</v>
      </c>
      <c r="C14" s="14"/>
      <c r="D14" s="7"/>
      <c r="E14" s="7"/>
      <c r="F14" s="7"/>
      <c r="G14" s="63" t="s">
        <v>142</v>
      </c>
      <c r="H14" s="123">
        <f>+H13</f>
        <v>971859</v>
      </c>
      <c r="I14" s="124">
        <f>+I13</f>
        <v>7059822</v>
      </c>
    </row>
    <row r="15" spans="1:12" ht="12.75" customHeight="1" x14ac:dyDescent="0.25">
      <c r="A15" s="137"/>
      <c r="B15" s="16"/>
      <c r="C15" s="16"/>
      <c r="D15" s="7"/>
      <c r="E15" s="7"/>
      <c r="F15" s="7"/>
      <c r="G15" s="63"/>
      <c r="H15" s="79"/>
      <c r="I15" s="80"/>
    </row>
    <row r="16" spans="1:12" ht="12.75" customHeight="1" x14ac:dyDescent="0.25">
      <c r="A16" s="137"/>
      <c r="B16" s="14" t="s">
        <v>115</v>
      </c>
      <c r="C16" s="14"/>
      <c r="D16" s="7"/>
      <c r="E16" s="7"/>
      <c r="F16" s="7"/>
      <c r="G16" s="63"/>
      <c r="H16" s="79"/>
      <c r="I16" s="80"/>
    </row>
    <row r="17" spans="1:13" ht="12.75" customHeight="1" x14ac:dyDescent="0.25">
      <c r="A17" s="137"/>
      <c r="B17" s="14" t="s">
        <v>112</v>
      </c>
      <c r="C17" s="16"/>
      <c r="D17" s="7"/>
      <c r="E17" s="7"/>
      <c r="F17" s="7"/>
      <c r="G17" s="63"/>
      <c r="H17" s="79">
        <v>-19760435</v>
      </c>
      <c r="I17" s="80">
        <v>-1515735</v>
      </c>
      <c r="M17" s="2">
        <f>+K17+L17</f>
        <v>0</v>
      </c>
    </row>
    <row r="18" spans="1:13" ht="12.75" customHeight="1" x14ac:dyDescent="0.25">
      <c r="A18" s="144"/>
      <c r="B18" s="146" t="s">
        <v>116</v>
      </c>
      <c r="C18" s="146"/>
      <c r="D18" s="145"/>
      <c r="E18" s="145"/>
      <c r="F18" s="145"/>
      <c r="G18" s="113" t="s">
        <v>142</v>
      </c>
      <c r="H18" s="123">
        <f>+H17</f>
        <v>-19760435</v>
      </c>
      <c r="I18" s="124">
        <f>+I17</f>
        <v>-1515735</v>
      </c>
      <c r="M18" s="208"/>
    </row>
    <row r="19" spans="1:13" ht="12.75" customHeight="1" x14ac:dyDescent="0.25">
      <c r="A19" s="144"/>
      <c r="B19" s="146" t="s">
        <v>59</v>
      </c>
      <c r="C19" s="146"/>
      <c r="D19" s="145"/>
      <c r="E19" s="145"/>
      <c r="F19" s="145"/>
      <c r="G19" s="113"/>
      <c r="H19" s="196">
        <f>+H10+H18+H14</f>
        <v>41459057</v>
      </c>
      <c r="I19" s="162">
        <f>+I10+I18+I14</f>
        <v>4057136</v>
      </c>
    </row>
    <row r="20" spans="1:13" ht="12.75" customHeight="1" x14ac:dyDescent="0.25">
      <c r="A20" s="137"/>
      <c r="B20" s="16" t="s">
        <v>158</v>
      </c>
      <c r="C20" s="16"/>
      <c r="D20" s="7"/>
      <c r="E20" s="7"/>
      <c r="F20" s="7"/>
      <c r="G20" s="117"/>
      <c r="H20" s="122">
        <f>H19-H21</f>
        <v>40965203</v>
      </c>
      <c r="I20" s="80">
        <f>I19-I21</f>
        <v>4032972</v>
      </c>
    </row>
    <row r="21" spans="1:13" ht="14.25" thickBot="1" x14ac:dyDescent="0.3">
      <c r="A21" s="139"/>
      <c r="B21" s="50" t="s">
        <v>117</v>
      </c>
      <c r="C21" s="50"/>
      <c r="D21" s="140"/>
      <c r="E21" s="140"/>
      <c r="F21" s="140"/>
      <c r="G21" s="121"/>
      <c r="H21" s="250">
        <f>+'P&amp;L'!D55</f>
        <v>493854</v>
      </c>
      <c r="I21" s="160">
        <f>24164</f>
        <v>24164</v>
      </c>
    </row>
    <row r="22" spans="1:13" x14ac:dyDescent="0.25">
      <c r="A22" s="172"/>
      <c r="B22" s="16"/>
      <c r="C22" s="16"/>
      <c r="D22" s="7"/>
      <c r="E22" s="7"/>
      <c r="F22" s="7"/>
      <c r="G22" s="65"/>
      <c r="H22" s="35"/>
      <c r="I22" s="35"/>
    </row>
    <row r="23" spans="1:13" s="32" customFormat="1" ht="31.15" customHeight="1" x14ac:dyDescent="0.25">
      <c r="A23" s="39"/>
      <c r="B23" s="307" t="s">
        <v>239</v>
      </c>
      <c r="C23" s="307"/>
      <c r="D23" s="307"/>
      <c r="E23" s="307"/>
      <c r="F23" s="307"/>
      <c r="G23" s="307"/>
      <c r="H23" s="307"/>
      <c r="I23" s="307"/>
      <c r="J23" s="31"/>
      <c r="K23" s="31"/>
    </row>
    <row r="24" spans="1:13" ht="15.75" x14ac:dyDescent="0.25">
      <c r="A24" s="169"/>
      <c r="B24" s="169"/>
      <c r="C24" s="169"/>
      <c r="D24" s="170"/>
      <c r="E24" s="171"/>
      <c r="F24" s="171"/>
      <c r="G24" s="7"/>
      <c r="H24" s="7"/>
      <c r="I24" s="7"/>
      <c r="J24" s="7"/>
      <c r="K24" s="7"/>
      <c r="L24" s="172"/>
    </row>
    <row r="25" spans="1:13" ht="15" x14ac:dyDescent="0.25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</row>
    <row r="26" spans="1:13" x14ac:dyDescent="0.25">
      <c r="A26" s="7"/>
      <c r="B26" s="7"/>
      <c r="C26" s="7"/>
      <c r="D26" s="138"/>
      <c r="E26" s="7"/>
      <c r="F26" s="7"/>
      <c r="G26" s="7"/>
      <c r="H26" s="7"/>
      <c r="I26" s="7"/>
      <c r="J26" s="7"/>
      <c r="K26" s="7"/>
      <c r="L26" s="7"/>
    </row>
    <row r="27" spans="1:13" x14ac:dyDescent="0.25">
      <c r="A27" s="65"/>
      <c r="B27" s="65"/>
      <c r="C27" s="65"/>
      <c r="D27" s="10"/>
      <c r="E27" s="10"/>
      <c r="F27" s="10"/>
      <c r="G27" s="10"/>
      <c r="H27" s="10"/>
      <c r="I27" s="10"/>
      <c r="J27" s="10"/>
      <c r="K27" s="10"/>
      <c r="L27" s="10"/>
    </row>
    <row r="28" spans="1:13" x14ac:dyDescent="0.25">
      <c r="A28" s="65"/>
      <c r="B28" s="65"/>
      <c r="C28" s="65"/>
      <c r="D28" s="10"/>
      <c r="E28" s="10"/>
      <c r="F28" s="10"/>
      <c r="G28" s="10"/>
      <c r="H28" s="10"/>
      <c r="I28" s="10"/>
      <c r="J28" s="10"/>
      <c r="K28" s="10"/>
      <c r="L28" s="10"/>
    </row>
    <row r="29" spans="1:13" x14ac:dyDescent="0.25">
      <c r="A29" s="65"/>
      <c r="B29" s="65"/>
      <c r="C29" s="65"/>
      <c r="D29" s="10"/>
      <c r="E29" s="10"/>
      <c r="F29" s="10"/>
      <c r="G29" s="10"/>
      <c r="H29" s="10"/>
      <c r="I29" s="10"/>
      <c r="J29" s="10"/>
      <c r="K29" s="10"/>
      <c r="L29" s="10"/>
    </row>
    <row r="30" spans="1:13" x14ac:dyDescent="0.25">
      <c r="A30" s="65"/>
      <c r="B30" s="65"/>
      <c r="C30" s="65"/>
      <c r="D30" s="10"/>
      <c r="E30" s="10"/>
      <c r="F30" s="10"/>
      <c r="G30" s="10"/>
      <c r="H30" s="10"/>
      <c r="I30" s="10"/>
      <c r="J30" s="10"/>
      <c r="K30" s="10"/>
      <c r="L30" s="10"/>
    </row>
    <row r="31" spans="1:13" x14ac:dyDescent="0.25">
      <c r="A31" s="65"/>
      <c r="B31" s="65"/>
      <c r="C31" s="65"/>
      <c r="D31" s="173"/>
      <c r="E31" s="173"/>
      <c r="F31" s="173"/>
      <c r="G31" s="173"/>
      <c r="H31" s="173"/>
      <c r="I31" s="173"/>
      <c r="J31" s="173"/>
      <c r="K31" s="173"/>
      <c r="L31" s="173"/>
    </row>
    <row r="32" spans="1:13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5">
      <c r="A33" s="14"/>
      <c r="B33" s="14"/>
      <c r="C33" s="14"/>
      <c r="D33" s="15"/>
      <c r="E33" s="10"/>
      <c r="F33" s="15"/>
      <c r="G33" s="15"/>
      <c r="H33" s="15"/>
      <c r="I33" s="15"/>
      <c r="J33" s="15"/>
      <c r="K33" s="15"/>
      <c r="L33" s="14"/>
    </row>
    <row r="34" spans="1:12" x14ac:dyDescent="0.25">
      <c r="A34" s="16"/>
      <c r="B34" s="16"/>
      <c r="C34" s="16"/>
      <c r="D34" s="174"/>
      <c r="E34" s="174"/>
      <c r="F34" s="174"/>
      <c r="G34" s="174"/>
      <c r="H34" s="17"/>
      <c r="I34" s="17"/>
      <c r="J34" s="6"/>
      <c r="K34" s="35"/>
      <c r="L34" s="17"/>
    </row>
    <row r="35" spans="1:12" x14ac:dyDescent="0.25">
      <c r="A35" s="16"/>
      <c r="B35" s="16"/>
      <c r="C35" s="16"/>
      <c r="D35" s="174"/>
      <c r="E35" s="174"/>
      <c r="F35" s="174"/>
      <c r="G35" s="174"/>
      <c r="H35" s="174"/>
      <c r="I35" s="174"/>
      <c r="J35" s="174"/>
      <c r="K35" s="6"/>
      <c r="L35" s="35"/>
    </row>
    <row r="36" spans="1:12" x14ac:dyDescent="0.25">
      <c r="A36" s="16"/>
      <c r="B36" s="16"/>
      <c r="C36" s="16"/>
      <c r="D36" s="174"/>
      <c r="E36" s="174"/>
      <c r="F36" s="174"/>
      <c r="G36" s="174"/>
      <c r="H36" s="174"/>
      <c r="I36" s="17"/>
      <c r="J36" s="174"/>
      <c r="K36" s="17"/>
      <c r="L36" s="17"/>
    </row>
    <row r="37" spans="1:12" x14ac:dyDescent="0.25">
      <c r="A37" s="16"/>
      <c r="B37" s="16"/>
      <c r="C37" s="16"/>
      <c r="D37" s="174"/>
      <c r="E37" s="174"/>
      <c r="F37" s="174"/>
      <c r="G37" s="17"/>
      <c r="H37" s="174"/>
      <c r="I37" s="17"/>
      <c r="J37" s="35"/>
      <c r="K37" s="174"/>
      <c r="L37" s="17"/>
    </row>
    <row r="38" spans="1:12" x14ac:dyDescent="0.25">
      <c r="A38" s="16"/>
      <c r="B38" s="16"/>
      <c r="C38" s="16"/>
      <c r="D38" s="174"/>
      <c r="E38" s="174"/>
      <c r="F38" s="17"/>
      <c r="G38" s="17"/>
      <c r="H38" s="17"/>
      <c r="I38" s="175"/>
      <c r="J38" s="174"/>
      <c r="K38" s="174"/>
      <c r="L38" s="176"/>
    </row>
    <row r="39" spans="1:12" x14ac:dyDescent="0.25">
      <c r="A39" s="16"/>
      <c r="B39" s="16"/>
      <c r="C39" s="16"/>
      <c r="D39" s="174"/>
      <c r="E39" s="174"/>
      <c r="F39" s="17"/>
      <c r="G39" s="17"/>
      <c r="H39" s="17"/>
      <c r="I39" s="175"/>
      <c r="J39" s="175"/>
      <c r="K39" s="175"/>
      <c r="L39" s="176"/>
    </row>
    <row r="40" spans="1:12" x14ac:dyDescent="0.25">
      <c r="A40" s="16"/>
      <c r="B40" s="16"/>
      <c r="C40" s="16"/>
      <c r="D40" s="174"/>
      <c r="E40" s="174"/>
      <c r="F40" s="17"/>
      <c r="G40" s="17"/>
      <c r="H40" s="17"/>
      <c r="I40" s="17"/>
      <c r="J40" s="174"/>
      <c r="K40" s="174"/>
      <c r="L40" s="17"/>
    </row>
    <row r="41" spans="1:12" x14ac:dyDescent="0.25">
      <c r="A41" s="14"/>
      <c r="B41" s="14"/>
      <c r="C41" s="14"/>
      <c r="D41" s="36"/>
      <c r="E41" s="36"/>
      <c r="F41" s="36"/>
      <c r="G41" s="36"/>
      <c r="H41" s="36"/>
      <c r="I41" s="36"/>
      <c r="J41" s="36"/>
      <c r="K41" s="36"/>
      <c r="L41" s="36"/>
    </row>
    <row r="42" spans="1:12" x14ac:dyDescent="0.25">
      <c r="A42" s="16"/>
      <c r="B42" s="16"/>
      <c r="C42" s="16"/>
      <c r="D42" s="175"/>
      <c r="E42" s="175"/>
      <c r="F42" s="175"/>
      <c r="G42" s="175"/>
      <c r="H42" s="177"/>
      <c r="I42" s="177"/>
      <c r="J42" s="178"/>
      <c r="K42" s="177"/>
      <c r="L42" s="177"/>
    </row>
    <row r="43" spans="1:12" x14ac:dyDescent="0.25">
      <c r="A43" s="16"/>
      <c r="B43" s="16"/>
      <c r="C43" s="16"/>
      <c r="D43" s="177"/>
      <c r="E43" s="177"/>
      <c r="F43" s="177"/>
      <c r="G43" s="177"/>
      <c r="H43" s="177"/>
      <c r="I43" s="177"/>
      <c r="J43" s="178"/>
      <c r="K43" s="178"/>
      <c r="L43" s="179"/>
    </row>
    <row r="44" spans="1:12" x14ac:dyDescent="0.25">
      <c r="A44" s="16"/>
      <c r="B44" s="16"/>
      <c r="C44" s="65"/>
      <c r="D44" s="175"/>
      <c r="E44" s="175"/>
      <c r="F44" s="175"/>
      <c r="G44" s="175"/>
      <c r="H44" s="175"/>
      <c r="I44" s="175"/>
      <c r="J44" s="175"/>
      <c r="K44" s="180"/>
      <c r="L44" s="180"/>
    </row>
    <row r="45" spans="1:12" x14ac:dyDescent="0.25">
      <c r="A45" s="16"/>
      <c r="B45" s="16"/>
      <c r="C45" s="65"/>
      <c r="D45" s="175"/>
      <c r="E45" s="175"/>
      <c r="F45" s="175"/>
      <c r="G45" s="175"/>
      <c r="H45" s="175"/>
      <c r="I45" s="175"/>
      <c r="J45" s="175"/>
      <c r="K45" s="178"/>
      <c r="L45" s="177"/>
    </row>
    <row r="46" spans="1:12" x14ac:dyDescent="0.25">
      <c r="A46" s="16"/>
      <c r="B46" s="16"/>
      <c r="C46" s="16"/>
      <c r="D46" s="177"/>
      <c r="E46" s="177"/>
      <c r="F46" s="177"/>
      <c r="G46" s="177"/>
      <c r="H46" s="177"/>
      <c r="I46" s="175"/>
      <c r="J46" s="175"/>
      <c r="K46" s="178"/>
      <c r="L46" s="179"/>
    </row>
    <row r="47" spans="1:12" x14ac:dyDescent="0.25">
      <c r="A47" s="16"/>
      <c r="B47" s="16"/>
      <c r="C47" s="16"/>
      <c r="D47" s="175"/>
      <c r="E47" s="177"/>
      <c r="F47" s="177"/>
      <c r="G47" s="177"/>
      <c r="H47" s="177"/>
      <c r="I47" s="175"/>
      <c r="J47" s="175"/>
      <c r="K47" s="175"/>
      <c r="L47" s="176"/>
    </row>
    <row r="48" spans="1:12" x14ac:dyDescent="0.25">
      <c r="A48" s="16"/>
      <c r="B48" s="16"/>
      <c r="C48" s="16"/>
      <c r="D48" s="175"/>
      <c r="E48" s="175"/>
      <c r="F48" s="175"/>
      <c r="G48" s="177"/>
      <c r="H48" s="175"/>
      <c r="I48" s="177"/>
      <c r="J48" s="180"/>
      <c r="K48" s="175"/>
      <c r="L48" s="176"/>
    </row>
    <row r="49" spans="1:12" x14ac:dyDescent="0.25">
      <c r="A49" s="14"/>
      <c r="B49" s="14"/>
      <c r="C49" s="14"/>
      <c r="D49" s="36"/>
      <c r="E49" s="36"/>
      <c r="F49" s="36"/>
      <c r="G49" s="36"/>
      <c r="H49" s="36"/>
      <c r="I49" s="36"/>
      <c r="J49" s="36"/>
      <c r="K49" s="36"/>
      <c r="L49" s="36"/>
    </row>
    <row r="50" spans="1:12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13"/>
    </row>
    <row r="51" spans="1:12" ht="15" customHeight="1" x14ac:dyDescent="0.25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</row>
    <row r="52" spans="1:12" x14ac:dyDescent="0.25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</row>
    <row r="54" spans="1:12" x14ac:dyDescent="0.25">
      <c r="D54" s="147"/>
    </row>
    <row r="58" spans="1:12" x14ac:dyDescent="0.25">
      <c r="D58" s="152"/>
      <c r="E58" s="152"/>
      <c r="F58" s="152"/>
      <c r="G58" s="152"/>
      <c r="H58" s="152"/>
      <c r="I58" s="152"/>
      <c r="J58" s="152"/>
      <c r="K58" s="152"/>
      <c r="L58" s="152"/>
    </row>
    <row r="64" spans="1:12" x14ac:dyDescent="0.25">
      <c r="J64" s="2">
        <v>0</v>
      </c>
    </row>
  </sheetData>
  <mergeCells count="7">
    <mergeCell ref="A5:I5"/>
    <mergeCell ref="A51:L52"/>
    <mergeCell ref="B23:I23"/>
    <mergeCell ref="A25:L25"/>
    <mergeCell ref="A1:I1"/>
    <mergeCell ref="A3:I3"/>
    <mergeCell ref="A4:I4"/>
  </mergeCells>
  <phoneticPr fontId="0" type="noConversion"/>
  <printOptions horizontalCentered="1"/>
  <pageMargins left="0.39370078740157483" right="0.39370078740157483" top="1.7716535433070868" bottom="0.59055118110236227" header="0.39370078740157483" footer="0.39370078740157483"/>
  <pageSetup paperSize="9" scale="90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3" zoomScale="90" zoomScaleNormal="90" zoomScaleSheetLayoutView="100" workbookViewId="0">
      <selection activeCell="M31" sqref="M31"/>
    </sheetView>
  </sheetViews>
  <sheetFormatPr baseColWidth="10" defaultColWidth="11.42578125" defaultRowHeight="13.5" x14ac:dyDescent="0.25"/>
  <cols>
    <col min="1" max="1" width="0.85546875" style="2" customWidth="1"/>
    <col min="2" max="2" width="42.5703125" style="2" customWidth="1"/>
    <col min="3" max="3" width="11.28515625" style="2" customWidth="1"/>
    <col min="4" max="4" width="11.28515625" style="119" customWidth="1"/>
    <col min="5" max="5" width="11.42578125" style="40" hidden="1" customWidth="1"/>
    <col min="6" max="6" width="12.28515625" style="40" customWidth="1"/>
    <col min="7" max="7" width="14.7109375" style="2" customWidth="1"/>
    <col min="8" max="8" width="12.5703125" style="2" customWidth="1"/>
    <col min="9" max="9" width="11.7109375" style="2" customWidth="1"/>
    <col min="10" max="10" width="11.28515625" style="2" customWidth="1"/>
    <col min="11" max="11" width="13.85546875" style="2" customWidth="1"/>
    <col min="12" max="12" width="10.7109375" style="2" customWidth="1"/>
    <col min="13" max="13" width="11.7109375" style="2" bestFit="1" customWidth="1"/>
    <col min="14" max="16384" width="11.42578125" style="2"/>
  </cols>
  <sheetData>
    <row r="1" spans="1:13" s="27" customFormat="1" ht="35.25" customHeight="1" x14ac:dyDescent="0.3">
      <c r="A1" s="304" t="s">
        <v>200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30" customFormat="1" ht="16.5" x14ac:dyDescent="0.3">
      <c r="A2" s="28"/>
      <c r="B2" s="28"/>
      <c r="C2" s="28"/>
      <c r="D2" s="62"/>
      <c r="E2" s="29"/>
      <c r="F2" s="29"/>
      <c r="G2" s="28"/>
      <c r="H2" s="28"/>
      <c r="I2" s="28"/>
      <c r="J2" s="28"/>
      <c r="K2" s="28"/>
      <c r="L2" s="28"/>
    </row>
    <row r="3" spans="1:13" s="30" customFormat="1" ht="16.5" x14ac:dyDescent="0.3">
      <c r="A3" s="299" t="s">
        <v>220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3" ht="15" x14ac:dyDescent="0.25">
      <c r="A4" s="299" t="s">
        <v>118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3" ht="13.5" customHeight="1" x14ac:dyDescent="0.25">
      <c r="A5" s="298" t="s">
        <v>42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</row>
    <row r="6" spans="1:13" ht="14.25" thickBot="1" x14ac:dyDescent="0.3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</row>
    <row r="7" spans="1:13" s="202" customFormat="1" x14ac:dyDescent="0.25">
      <c r="A7" s="107"/>
      <c r="B7" s="108"/>
      <c r="C7" s="154"/>
      <c r="D7" s="8"/>
      <c r="E7" s="8"/>
      <c r="F7" s="8"/>
      <c r="G7" s="8"/>
      <c r="H7" s="8"/>
      <c r="I7" s="8" t="s">
        <v>36</v>
      </c>
      <c r="J7" s="8"/>
      <c r="K7" s="8"/>
      <c r="L7" s="8"/>
      <c r="M7" s="9"/>
    </row>
    <row r="8" spans="1:13" s="202" customFormat="1" x14ac:dyDescent="0.25">
      <c r="A8" s="110"/>
      <c r="B8" s="65"/>
      <c r="C8" s="63"/>
      <c r="D8" s="52"/>
      <c r="E8" s="52"/>
      <c r="F8" s="52"/>
      <c r="G8" s="52" t="s">
        <v>119</v>
      </c>
      <c r="H8" s="52" t="s">
        <v>119</v>
      </c>
      <c r="I8" s="52" t="s">
        <v>191</v>
      </c>
      <c r="J8" s="52"/>
      <c r="K8" s="52" t="s">
        <v>120</v>
      </c>
      <c r="L8" s="52"/>
      <c r="M8" s="153"/>
    </row>
    <row r="9" spans="1:13" s="202" customFormat="1" x14ac:dyDescent="0.25">
      <c r="A9" s="110"/>
      <c r="B9" s="65"/>
      <c r="C9" s="63"/>
      <c r="D9" s="52"/>
      <c r="E9" s="52"/>
      <c r="F9" s="52" t="s">
        <v>119</v>
      </c>
      <c r="G9" s="52" t="s">
        <v>186</v>
      </c>
      <c r="H9" s="52" t="s">
        <v>186</v>
      </c>
      <c r="I9" s="52" t="s">
        <v>192</v>
      </c>
      <c r="J9" s="52" t="s">
        <v>61</v>
      </c>
      <c r="K9" s="52" t="s">
        <v>194</v>
      </c>
      <c r="L9" s="52"/>
      <c r="M9" s="153" t="s">
        <v>61</v>
      </c>
    </row>
    <row r="10" spans="1:13" s="202" customFormat="1" x14ac:dyDescent="0.25">
      <c r="A10" s="110"/>
      <c r="B10" s="65"/>
      <c r="C10" s="63" t="s">
        <v>4</v>
      </c>
      <c r="D10" s="52" t="s">
        <v>172</v>
      </c>
      <c r="E10" s="52" t="s">
        <v>35</v>
      </c>
      <c r="F10" s="52" t="s">
        <v>184</v>
      </c>
      <c r="G10" s="161" t="s">
        <v>187</v>
      </c>
      <c r="H10" s="52" t="s">
        <v>189</v>
      </c>
      <c r="I10" s="52" t="s">
        <v>184</v>
      </c>
      <c r="J10" s="52" t="s">
        <v>153</v>
      </c>
      <c r="K10" s="52" t="s">
        <v>195</v>
      </c>
      <c r="L10" s="52" t="s">
        <v>121</v>
      </c>
      <c r="M10" s="153" t="s">
        <v>122</v>
      </c>
    </row>
    <row r="11" spans="1:13" s="202" customFormat="1" x14ac:dyDescent="0.25">
      <c r="A11" s="111"/>
      <c r="B11" s="112"/>
      <c r="C11" s="113" t="s">
        <v>5</v>
      </c>
      <c r="D11" s="46" t="s">
        <v>183</v>
      </c>
      <c r="E11" s="46" t="s">
        <v>157</v>
      </c>
      <c r="F11" s="46" t="s">
        <v>185</v>
      </c>
      <c r="G11" s="46" t="s">
        <v>188</v>
      </c>
      <c r="H11" s="46" t="s">
        <v>190</v>
      </c>
      <c r="I11" s="46" t="s">
        <v>185</v>
      </c>
      <c r="J11" s="46" t="s">
        <v>193</v>
      </c>
      <c r="K11" s="46" t="s">
        <v>196</v>
      </c>
      <c r="L11" s="46" t="s">
        <v>197</v>
      </c>
      <c r="M11" s="48" t="s">
        <v>123</v>
      </c>
    </row>
    <row r="12" spans="1:13" s="202" customFormat="1" x14ac:dyDescent="0.25">
      <c r="A12" s="86"/>
      <c r="B12" s="16"/>
      <c r="C12" s="95"/>
      <c r="D12" s="95"/>
      <c r="E12" s="78"/>
      <c r="F12" s="78"/>
      <c r="G12" s="78"/>
      <c r="H12" s="78"/>
      <c r="I12" s="78"/>
      <c r="J12" s="78"/>
      <c r="K12" s="78"/>
      <c r="L12" s="78"/>
      <c r="M12" s="77"/>
    </row>
    <row r="13" spans="1:13" s="202" customFormat="1" x14ac:dyDescent="0.25">
      <c r="A13" s="91"/>
      <c r="B13" s="14" t="s">
        <v>198</v>
      </c>
      <c r="C13" s="94"/>
      <c r="D13" s="123">
        <v>601012</v>
      </c>
      <c r="E13" s="123">
        <v>0</v>
      </c>
      <c r="F13" s="123">
        <v>219082854</v>
      </c>
      <c r="G13" s="123">
        <v>-70855960.828999996</v>
      </c>
      <c r="H13" s="123">
        <v>13201722</v>
      </c>
      <c r="I13" s="123">
        <v>356638</v>
      </c>
      <c r="J13" s="123">
        <v>162386265</v>
      </c>
      <c r="K13" s="123">
        <v>130478035</v>
      </c>
      <c r="L13" s="123">
        <v>3384928</v>
      </c>
      <c r="M13" s="124">
        <f>+J13+K13+L13</f>
        <v>296249228</v>
      </c>
    </row>
    <row r="14" spans="1:13" s="202" customFormat="1" x14ac:dyDescent="0.25">
      <c r="A14" s="91"/>
      <c r="B14" s="16" t="s">
        <v>60</v>
      </c>
      <c r="C14" s="95"/>
      <c r="D14" s="151">
        <v>0</v>
      </c>
      <c r="E14" s="151"/>
      <c r="F14" s="151">
        <v>0</v>
      </c>
      <c r="G14" s="151">
        <v>0</v>
      </c>
      <c r="H14" s="151">
        <v>0</v>
      </c>
      <c r="I14" s="149">
        <v>-1409808</v>
      </c>
      <c r="J14" s="149">
        <f>+SUM(D14:I14)</f>
        <v>-1409808</v>
      </c>
      <c r="K14" s="150">
        <v>5544087</v>
      </c>
      <c r="L14" s="149">
        <v>-77143</v>
      </c>
      <c r="M14" s="184">
        <f>+J14+K14+L14</f>
        <v>4057136</v>
      </c>
    </row>
    <row r="15" spans="1:13" s="202" customFormat="1" x14ac:dyDescent="0.25">
      <c r="A15" s="91"/>
      <c r="B15" s="16" t="s">
        <v>177</v>
      </c>
      <c r="C15" s="95"/>
      <c r="D15" s="149"/>
      <c r="E15" s="149"/>
      <c r="F15" s="149"/>
      <c r="G15" s="149"/>
      <c r="H15" s="149"/>
      <c r="I15" s="149"/>
      <c r="J15" s="149"/>
      <c r="K15" s="150"/>
      <c r="L15" s="150"/>
      <c r="M15" s="185"/>
    </row>
    <row r="16" spans="1:13" s="202" customFormat="1" x14ac:dyDescent="0.25">
      <c r="A16" s="91"/>
      <c r="B16" s="16" t="s">
        <v>159</v>
      </c>
      <c r="C16" s="63"/>
      <c r="D16" s="151">
        <v>0</v>
      </c>
      <c r="E16" s="151"/>
      <c r="F16" s="151">
        <v>0</v>
      </c>
      <c r="G16" s="151">
        <v>0</v>
      </c>
      <c r="H16" s="151">
        <v>0</v>
      </c>
      <c r="I16" s="151">
        <v>0</v>
      </c>
      <c r="J16" s="151">
        <f>+SUM(D16:I16)</f>
        <v>0</v>
      </c>
      <c r="K16" s="151">
        <v>0</v>
      </c>
      <c r="L16" s="158">
        <f>-311765</f>
        <v>-311765</v>
      </c>
      <c r="M16" s="184">
        <f>+J16+K16+L16</f>
        <v>-311765</v>
      </c>
    </row>
    <row r="17" spans="1:14" s="202" customFormat="1" x14ac:dyDescent="0.25">
      <c r="A17" s="91"/>
      <c r="B17" s="16" t="s">
        <v>176</v>
      </c>
      <c r="C17" s="95"/>
      <c r="D17" s="149"/>
      <c r="E17" s="149"/>
      <c r="F17" s="149"/>
      <c r="G17" s="149"/>
      <c r="H17" s="149"/>
      <c r="I17" s="149"/>
      <c r="J17" s="151"/>
      <c r="K17" s="151"/>
      <c r="L17" s="150"/>
      <c r="M17" s="185"/>
    </row>
    <row r="18" spans="1:14" s="202" customFormat="1" x14ac:dyDescent="0.25">
      <c r="A18" s="91"/>
      <c r="B18" s="16" t="s">
        <v>155</v>
      </c>
      <c r="C18" s="95"/>
      <c r="D18" s="151">
        <v>0</v>
      </c>
      <c r="E18" s="149"/>
      <c r="F18" s="158">
        <v>1150938</v>
      </c>
      <c r="G18" s="149">
        <v>-1508353</v>
      </c>
      <c r="H18" s="149">
        <v>714053</v>
      </c>
      <c r="I18" s="149">
        <v>-356638</v>
      </c>
      <c r="J18" s="151">
        <f t="shared" ref="J18:J20" si="0">+SUM(D18:I18)</f>
        <v>0</v>
      </c>
      <c r="K18" s="151">
        <v>0</v>
      </c>
      <c r="L18" s="151">
        <v>0</v>
      </c>
      <c r="M18" s="185">
        <f t="shared" ref="M18:M19" si="1">+J18+K18+L18</f>
        <v>0</v>
      </c>
    </row>
    <row r="19" spans="1:14" s="202" customFormat="1" x14ac:dyDescent="0.25">
      <c r="A19" s="91"/>
      <c r="B19" s="102" t="s">
        <v>156</v>
      </c>
      <c r="C19" s="102"/>
      <c r="D19" s="210">
        <v>0</v>
      </c>
      <c r="E19" s="151"/>
      <c r="F19" s="158">
        <v>-182652</v>
      </c>
      <c r="G19" s="149">
        <v>173503</v>
      </c>
      <c r="H19" s="149">
        <v>4899</v>
      </c>
      <c r="I19" s="151">
        <v>0</v>
      </c>
      <c r="J19" s="149">
        <f t="shared" si="0"/>
        <v>-4250</v>
      </c>
      <c r="K19" s="158">
        <f>-101307</f>
        <v>-101307</v>
      </c>
      <c r="L19" s="158">
        <f>101307</f>
        <v>101307</v>
      </c>
      <c r="M19" s="184">
        <f t="shared" si="1"/>
        <v>-4250</v>
      </c>
    </row>
    <row r="20" spans="1:14" s="202" customFormat="1" x14ac:dyDescent="0.25">
      <c r="A20" s="91"/>
      <c r="B20" s="216" t="s">
        <v>212</v>
      </c>
      <c r="C20" s="102"/>
      <c r="D20" s="211">
        <f>+SUM(D13:D19)</f>
        <v>601012</v>
      </c>
      <c r="E20" s="123">
        <v>0</v>
      </c>
      <c r="F20" s="123">
        <f t="shared" ref="F20:H20" si="2">+SUM(F13:F19)</f>
        <v>220051140</v>
      </c>
      <c r="G20" s="123">
        <f t="shared" si="2"/>
        <v>-72190810.828999996</v>
      </c>
      <c r="H20" s="123">
        <f t="shared" si="2"/>
        <v>13920674</v>
      </c>
      <c r="I20" s="123">
        <f>+SUM(I13:I19)</f>
        <v>-1409808</v>
      </c>
      <c r="J20" s="123">
        <f t="shared" si="0"/>
        <v>160972207.171</v>
      </c>
      <c r="K20" s="123">
        <f t="shared" ref="K20:L20" si="3">+SUM(K13:K19)</f>
        <v>135920815</v>
      </c>
      <c r="L20" s="123">
        <f t="shared" si="3"/>
        <v>3097327</v>
      </c>
      <c r="M20" s="124">
        <f>+J20+K20+L20</f>
        <v>299990349.171</v>
      </c>
    </row>
    <row r="21" spans="1:14" s="202" customFormat="1" x14ac:dyDescent="0.25">
      <c r="A21" s="91"/>
      <c r="B21" s="102" t="s">
        <v>60</v>
      </c>
      <c r="C21" s="102"/>
      <c r="D21" s="210">
        <v>0</v>
      </c>
      <c r="E21" s="151"/>
      <c r="F21" s="151">
        <v>0</v>
      </c>
      <c r="G21" s="151">
        <v>0</v>
      </c>
      <c r="H21" s="151">
        <v>0</v>
      </c>
      <c r="I21" s="149">
        <f>+'P&amp;L'!D54</f>
        <v>59753779</v>
      </c>
      <c r="J21" s="149">
        <f>+SUM(D21:I21)</f>
        <v>59753779</v>
      </c>
      <c r="K21" s="150">
        <f>+SORIE!H14+SORIE!H18</f>
        <v>-18788576</v>
      </c>
      <c r="L21" s="149">
        <f>+'P&amp;L'!D55</f>
        <v>493854</v>
      </c>
      <c r="M21" s="184">
        <f>+SUM(J21:L21)</f>
        <v>41459057</v>
      </c>
      <c r="N21" s="241"/>
    </row>
    <row r="22" spans="1:14" s="202" customFormat="1" x14ac:dyDescent="0.25">
      <c r="A22" s="91"/>
      <c r="B22" s="102" t="s">
        <v>177</v>
      </c>
      <c r="C22" s="102"/>
      <c r="D22" s="212"/>
      <c r="E22" s="149"/>
      <c r="F22" s="149"/>
      <c r="G22" s="149"/>
      <c r="H22" s="149"/>
      <c r="I22" s="149"/>
      <c r="J22" s="151"/>
      <c r="K22" s="150"/>
      <c r="L22" s="150"/>
      <c r="M22" s="185"/>
    </row>
    <row r="23" spans="1:14" s="202" customFormat="1" x14ac:dyDescent="0.25">
      <c r="A23" s="91"/>
      <c r="B23" s="102" t="s">
        <v>159</v>
      </c>
      <c r="C23" s="103" t="s">
        <v>143</v>
      </c>
      <c r="D23" s="210">
        <v>0</v>
      </c>
      <c r="E23" s="151"/>
      <c r="F23" s="151">
        <v>0</v>
      </c>
      <c r="G23" s="151">
        <v>0</v>
      </c>
      <c r="H23" s="151">
        <v>0</v>
      </c>
      <c r="I23" s="151">
        <v>0</v>
      </c>
      <c r="J23" s="151">
        <f t="shared" ref="J23:J26" si="4">+SUM(D23:I23)</f>
        <v>0</v>
      </c>
      <c r="K23" s="151">
        <v>0</v>
      </c>
      <c r="L23" s="158">
        <v>-125000</v>
      </c>
      <c r="M23" s="184">
        <f t="shared" ref="M23:M26" si="5">+SUM(J23:L23)</f>
        <v>-125000</v>
      </c>
    </row>
    <row r="24" spans="1:14" s="202" customFormat="1" x14ac:dyDescent="0.25">
      <c r="A24" s="91"/>
      <c r="B24" s="102" t="s">
        <v>176</v>
      </c>
      <c r="C24" s="102"/>
      <c r="D24" s="212"/>
      <c r="E24" s="149"/>
      <c r="F24" s="149"/>
      <c r="G24" s="149"/>
      <c r="H24" s="149"/>
      <c r="I24" s="149"/>
      <c r="J24" s="151"/>
      <c r="K24" s="151"/>
      <c r="L24" s="150"/>
      <c r="M24" s="185">
        <f t="shared" si="5"/>
        <v>0</v>
      </c>
    </row>
    <row r="25" spans="1:14" s="202" customFormat="1" x14ac:dyDescent="0.25">
      <c r="A25" s="91"/>
      <c r="B25" s="102" t="s">
        <v>155</v>
      </c>
      <c r="C25" s="102"/>
      <c r="D25" s="210">
        <v>0</v>
      </c>
      <c r="E25" s="149"/>
      <c r="F25" s="158">
        <v>981296</v>
      </c>
      <c r="G25" s="149">
        <v>-2875920</v>
      </c>
      <c r="H25" s="149">
        <v>484816</v>
      </c>
      <c r="I25" s="149">
        <f>-I20</f>
        <v>1409808</v>
      </c>
      <c r="J25" s="151">
        <f t="shared" si="4"/>
        <v>0</v>
      </c>
      <c r="K25" s="151">
        <v>0</v>
      </c>
      <c r="L25" s="151">
        <v>0</v>
      </c>
      <c r="M25" s="185">
        <f t="shared" si="5"/>
        <v>0</v>
      </c>
    </row>
    <row r="26" spans="1:14" s="202" customFormat="1" x14ac:dyDescent="0.25">
      <c r="A26" s="91"/>
      <c r="B26" s="102" t="s">
        <v>156</v>
      </c>
      <c r="C26" s="214" t="s">
        <v>227</v>
      </c>
      <c r="D26" s="224">
        <v>0</v>
      </c>
      <c r="E26" s="155"/>
      <c r="F26" s="157">
        <f>-G26-H26</f>
        <v>-40254133.828999996</v>
      </c>
      <c r="G26" s="156">
        <f>-G20-G25-20407107</f>
        <v>54659623.828999996</v>
      </c>
      <c r="H26" s="156">
        <f>-H20-H25</f>
        <v>-14405490</v>
      </c>
      <c r="I26" s="155">
        <v>0</v>
      </c>
      <c r="J26" s="155">
        <f t="shared" si="4"/>
        <v>0</v>
      </c>
      <c r="K26" s="155">
        <v>0</v>
      </c>
      <c r="L26" s="157">
        <f>267111-1129689-1</f>
        <v>-862579</v>
      </c>
      <c r="M26" s="213">
        <f t="shared" si="5"/>
        <v>-862579</v>
      </c>
    </row>
    <row r="27" spans="1:14" s="202" customFormat="1" ht="14.25" thickBot="1" x14ac:dyDescent="0.3">
      <c r="A27" s="106"/>
      <c r="B27" s="226" t="s">
        <v>221</v>
      </c>
      <c r="C27" s="226"/>
      <c r="D27" s="225">
        <f>+SUM(D20:D26)</f>
        <v>601012</v>
      </c>
      <c r="E27" s="148"/>
      <c r="F27" s="148">
        <f t="shared" ref="F27:L27" si="6">+SUM(F20:F26)</f>
        <v>180778302.171</v>
      </c>
      <c r="G27" s="148">
        <f>+SUM(G20:G26)</f>
        <v>-20407107</v>
      </c>
      <c r="H27" s="240">
        <f t="shared" si="6"/>
        <v>0</v>
      </c>
      <c r="I27" s="148">
        <f>+SUM(I20:I26)</f>
        <v>59753779</v>
      </c>
      <c r="J27" s="148">
        <f t="shared" si="6"/>
        <v>220725986.171</v>
      </c>
      <c r="K27" s="148">
        <f t="shared" si="6"/>
        <v>117132239</v>
      </c>
      <c r="L27" s="148">
        <f t="shared" si="6"/>
        <v>2603602</v>
      </c>
      <c r="M27" s="251">
        <f>+SUM(J27:L27)</f>
        <v>340461827.171</v>
      </c>
    </row>
    <row r="28" spans="1:14" x14ac:dyDescent="0.25">
      <c r="A28" s="14"/>
      <c r="B28" s="14"/>
      <c r="C28" s="14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4" ht="15" customHeight="1" x14ac:dyDescent="0.25">
      <c r="A29" s="305" t="s">
        <v>222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</row>
    <row r="30" spans="1:14" x14ac:dyDescent="0.25">
      <c r="A30" s="305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</row>
    <row r="31" spans="1:14" x14ac:dyDescent="0.25">
      <c r="K31" s="208"/>
      <c r="L31" s="208"/>
      <c r="M31" s="207"/>
    </row>
    <row r="32" spans="1:14" x14ac:dyDescent="0.25">
      <c r="D32" s="208"/>
      <c r="F32" s="209"/>
      <c r="I32" s="207"/>
      <c r="J32" s="207"/>
    </row>
    <row r="34" spans="4:13" x14ac:dyDescent="0.25">
      <c r="D34" s="119">
        <f>+'Balance '!I11</f>
        <v>601012</v>
      </c>
      <c r="F34" s="40">
        <f>+'Balance '!I12</f>
        <v>160371195</v>
      </c>
      <c r="G34" s="2">
        <f>G33-G32</f>
        <v>0</v>
      </c>
      <c r="I34" s="2">
        <f>+'Balance '!I13</f>
        <v>59753779</v>
      </c>
      <c r="J34" s="2">
        <f>+'Balance '!I10</f>
        <v>220725986</v>
      </c>
      <c r="K34" s="2">
        <f>+'Balance '!I14</f>
        <v>117132239</v>
      </c>
      <c r="L34" s="2">
        <f>+'Balance '!I15</f>
        <v>2603602</v>
      </c>
    </row>
    <row r="35" spans="4:13" x14ac:dyDescent="0.25">
      <c r="D35" s="208">
        <f>D27-D34</f>
        <v>0</v>
      </c>
      <c r="F35" s="208">
        <f>F27+G27+H27-F34</f>
        <v>0.17100000381469727</v>
      </c>
      <c r="I35" s="208">
        <f>I27-I34</f>
        <v>0</v>
      </c>
      <c r="J35" s="208">
        <f>J27-J34</f>
        <v>0.17100000381469727</v>
      </c>
      <c r="K35" s="208">
        <f>K27-K34</f>
        <v>0</v>
      </c>
      <c r="L35" s="208">
        <f>L27-L34</f>
        <v>0</v>
      </c>
    </row>
    <row r="36" spans="4:13" x14ac:dyDescent="0.25">
      <c r="D36" s="152"/>
      <c r="E36" s="152"/>
      <c r="F36" s="152"/>
      <c r="G36" s="152"/>
      <c r="H36" s="152"/>
      <c r="I36" s="152"/>
      <c r="J36" s="152"/>
      <c r="K36" s="152"/>
      <c r="L36" s="152"/>
      <c r="M36" s="152"/>
    </row>
    <row r="42" spans="4:13" x14ac:dyDescent="0.25">
      <c r="K42" s="2">
        <v>0</v>
      </c>
    </row>
  </sheetData>
  <mergeCells count="5">
    <mergeCell ref="A29:M30"/>
    <mergeCell ref="A5:M5"/>
    <mergeCell ref="A1:M1"/>
    <mergeCell ref="A3:M3"/>
    <mergeCell ref="A4:M4"/>
  </mergeCells>
  <printOptions horizontalCentered="1"/>
  <pageMargins left="0.39370078740157483" right="0.39370078740157483" top="1.5748031496062993" bottom="0.59055118110236227" header="0.39370078740157483" footer="0.39370078740157483"/>
  <pageSetup paperSize="9" scale="86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opLeftCell="A49" zoomScaleNormal="100" zoomScaleSheetLayoutView="90" workbookViewId="0">
      <selection activeCell="E70" sqref="E70"/>
    </sheetView>
  </sheetViews>
  <sheetFormatPr baseColWidth="10" defaultColWidth="11.42578125" defaultRowHeight="12.75" x14ac:dyDescent="0.2"/>
  <cols>
    <col min="1" max="1" width="0.85546875" style="1" customWidth="1"/>
    <col min="2" max="2" width="67" style="1" customWidth="1"/>
    <col min="3" max="3" width="12.7109375" style="54" customWidth="1"/>
    <col min="4" max="4" width="11.7109375" style="19" customWidth="1"/>
    <col min="5" max="5" width="11.7109375" style="1" customWidth="1"/>
    <col min="6" max="6" width="11" style="1" customWidth="1"/>
    <col min="7" max="7" width="11.42578125" style="1"/>
    <col min="8" max="8" width="11.42578125" style="234"/>
    <col min="9" max="16384" width="11.42578125" style="1"/>
  </cols>
  <sheetData>
    <row r="1" spans="1:8" s="125" customFormat="1" ht="42" customHeight="1" x14ac:dyDescent="0.3">
      <c r="A1" s="191"/>
      <c r="B1" s="304" t="s">
        <v>201</v>
      </c>
      <c r="C1" s="304"/>
      <c r="D1" s="304"/>
      <c r="E1" s="304"/>
      <c r="F1" s="68"/>
      <c r="H1" s="231"/>
    </row>
    <row r="2" spans="1:8" s="28" customFormat="1" ht="15.75" x14ac:dyDescent="0.25">
      <c r="C2" s="62"/>
      <c r="D2" s="29"/>
      <c r="H2" s="232"/>
    </row>
    <row r="3" spans="1:8" s="28" customFormat="1" ht="15.75" x14ac:dyDescent="0.25">
      <c r="A3" s="182"/>
      <c r="B3" s="299" t="s">
        <v>223</v>
      </c>
      <c r="C3" s="299"/>
      <c r="D3" s="299"/>
      <c r="E3" s="299"/>
      <c r="H3" s="232"/>
    </row>
    <row r="4" spans="1:8" s="31" customFormat="1" ht="15" x14ac:dyDescent="0.2">
      <c r="A4" s="132"/>
      <c r="B4" s="298" t="s">
        <v>42</v>
      </c>
      <c r="C4" s="298"/>
      <c r="D4" s="298"/>
      <c r="E4" s="298"/>
      <c r="H4" s="233"/>
    </row>
    <row r="5" spans="1:8" s="31" customFormat="1" ht="15" x14ac:dyDescent="0.2">
      <c r="A5" s="115"/>
      <c r="B5" s="115"/>
      <c r="C5" s="115"/>
      <c r="D5" s="227"/>
      <c r="E5" s="115"/>
      <c r="H5" s="233"/>
    </row>
    <row r="6" spans="1:8" ht="13.5" thickBot="1" x14ac:dyDescent="0.25"/>
    <row r="7" spans="1:8" s="25" customFormat="1" ht="12.75" customHeight="1" x14ac:dyDescent="0.2">
      <c r="A7" s="83"/>
      <c r="B7" s="120"/>
      <c r="C7" s="109" t="s">
        <v>4</v>
      </c>
      <c r="D7" s="8" t="s">
        <v>0</v>
      </c>
      <c r="E7" s="186" t="s">
        <v>0</v>
      </c>
      <c r="H7" s="235"/>
    </row>
    <row r="8" spans="1:8" s="25" customFormat="1" ht="12.75" customHeight="1" x14ac:dyDescent="0.2">
      <c r="A8" s="85"/>
      <c r="B8" s="112"/>
      <c r="C8" s="113" t="s">
        <v>5</v>
      </c>
      <c r="D8" s="46">
        <v>2015</v>
      </c>
      <c r="E8" s="187">
        <v>2014</v>
      </c>
      <c r="H8" s="235"/>
    </row>
    <row r="9" spans="1:8" s="21" customFormat="1" ht="12.75" customHeight="1" x14ac:dyDescent="0.2">
      <c r="A9" s="86"/>
      <c r="B9" s="16"/>
      <c r="C9" s="63"/>
      <c r="D9" s="88"/>
      <c r="E9" s="188"/>
      <c r="H9" s="236"/>
    </row>
    <row r="10" spans="1:8" s="25" customFormat="1" ht="12.75" customHeight="1" x14ac:dyDescent="0.2">
      <c r="A10" s="91"/>
      <c r="B10" s="14" t="s">
        <v>62</v>
      </c>
      <c r="C10" s="63"/>
      <c r="D10" s="257">
        <f>+D11+D12+D24+D31</f>
        <v>16823754.830508001</v>
      </c>
      <c r="E10" s="258">
        <f>+E12+E24+E31+E11</f>
        <v>26357953.350000001</v>
      </c>
      <c r="H10" s="235"/>
    </row>
    <row r="11" spans="1:8" s="21" customFormat="1" ht="12.75" customHeight="1" x14ac:dyDescent="0.2">
      <c r="A11" s="86"/>
      <c r="B11" s="14" t="s">
        <v>37</v>
      </c>
      <c r="C11" s="63"/>
      <c r="D11" s="259">
        <f>+'P&amp;L'!D50</f>
        <v>61372964</v>
      </c>
      <c r="E11" s="260">
        <f>+'P&amp;L'!E50</f>
        <v>-3171961</v>
      </c>
      <c r="H11" s="235"/>
    </row>
    <row r="12" spans="1:8" s="21" customFormat="1" ht="12.75" customHeight="1" x14ac:dyDescent="0.2">
      <c r="A12" s="86"/>
      <c r="B12" s="14" t="s">
        <v>124</v>
      </c>
      <c r="C12" s="63"/>
      <c r="D12" s="259">
        <f>+SUM(D13:D23)</f>
        <v>-30571228</v>
      </c>
      <c r="E12" s="261">
        <f>+SUM(E13:E22)</f>
        <v>23639883</v>
      </c>
      <c r="H12" s="235"/>
    </row>
    <row r="13" spans="1:8" s="21" customFormat="1" ht="12.75" customHeight="1" x14ac:dyDescent="0.2">
      <c r="A13" s="86"/>
      <c r="B13" s="16" t="s">
        <v>27</v>
      </c>
      <c r="C13" s="63" t="s">
        <v>101</v>
      </c>
      <c r="D13" s="149">
        <v>20826981</v>
      </c>
      <c r="E13" s="262">
        <f>20951476</f>
        <v>20951476</v>
      </c>
      <c r="F13" s="41"/>
      <c r="H13" s="235"/>
    </row>
    <row r="14" spans="1:8" s="21" customFormat="1" ht="12.75" customHeight="1" x14ac:dyDescent="0.2">
      <c r="A14" s="86"/>
      <c r="B14" s="16" t="s">
        <v>63</v>
      </c>
      <c r="C14" s="63"/>
      <c r="D14" s="149">
        <v>7267572</v>
      </c>
      <c r="E14" s="262">
        <f>2787114</f>
        <v>2787114</v>
      </c>
      <c r="F14" s="41"/>
      <c r="H14" s="235"/>
    </row>
    <row r="15" spans="1:8" s="21" customFormat="1" ht="12.75" customHeight="1" x14ac:dyDescent="0.2">
      <c r="A15" s="86"/>
      <c r="B15" s="16" t="s">
        <v>64</v>
      </c>
      <c r="C15" s="63" t="s">
        <v>144</v>
      </c>
      <c r="D15" s="149">
        <v>-128417</v>
      </c>
      <c r="E15" s="262">
        <f>-2066594</f>
        <v>-2066594</v>
      </c>
      <c r="H15" s="235"/>
    </row>
    <row r="16" spans="1:8" s="21" customFormat="1" ht="12.75" customHeight="1" x14ac:dyDescent="0.2">
      <c r="A16" s="86"/>
      <c r="B16" s="16" t="s">
        <v>125</v>
      </c>
      <c r="C16" s="63" t="s">
        <v>142</v>
      </c>
      <c r="D16" s="149">
        <v>-20207685</v>
      </c>
      <c r="E16" s="262">
        <f>-2049389</f>
        <v>-2049389</v>
      </c>
      <c r="H16" s="235"/>
    </row>
    <row r="17" spans="1:8" s="21" customFormat="1" ht="12.75" customHeight="1" x14ac:dyDescent="0.2">
      <c r="A17" s="86"/>
      <c r="B17" s="16" t="s">
        <v>65</v>
      </c>
      <c r="C17" s="63" t="s">
        <v>40</v>
      </c>
      <c r="D17" s="149">
        <v>560541</v>
      </c>
      <c r="E17" s="262">
        <f>-71231</f>
        <v>-71231</v>
      </c>
      <c r="H17" s="235"/>
    </row>
    <row r="18" spans="1:8" s="21" customFormat="1" ht="12.75" customHeight="1" x14ac:dyDescent="0.2">
      <c r="A18" s="86"/>
      <c r="B18" s="16" t="s">
        <v>29</v>
      </c>
      <c r="C18" s="63"/>
      <c r="D18" s="149">
        <v>-1668213</v>
      </c>
      <c r="E18" s="262">
        <f>-1425983</f>
        <v>-1425983</v>
      </c>
      <c r="H18" s="235"/>
    </row>
    <row r="19" spans="1:8" s="25" customFormat="1" ht="12.75" customHeight="1" x14ac:dyDescent="0.2">
      <c r="A19" s="91"/>
      <c r="B19" s="16" t="s">
        <v>30</v>
      </c>
      <c r="C19" s="63" t="s">
        <v>151</v>
      </c>
      <c r="D19" s="149">
        <v>3868850</v>
      </c>
      <c r="E19" s="262">
        <f>5584614</f>
        <v>5584614</v>
      </c>
      <c r="H19" s="235"/>
    </row>
    <row r="20" spans="1:8" s="25" customFormat="1" ht="12.75" customHeight="1" x14ac:dyDescent="0.2">
      <c r="A20" s="91"/>
      <c r="B20" s="16" t="s">
        <v>31</v>
      </c>
      <c r="C20" s="63"/>
      <c r="D20" s="149">
        <v>33786</v>
      </c>
      <c r="E20" s="262">
        <f>16423</f>
        <v>16423</v>
      </c>
      <c r="H20" s="235"/>
    </row>
    <row r="21" spans="1:8" s="25" customFormat="1" ht="12.75" customHeight="1" x14ac:dyDescent="0.2">
      <c r="A21" s="91"/>
      <c r="B21" s="16" t="s">
        <v>108</v>
      </c>
      <c r="C21" s="63"/>
      <c r="D21" s="158">
        <v>152949</v>
      </c>
      <c r="E21" s="262">
        <f>-86547</f>
        <v>-86547</v>
      </c>
      <c r="H21" s="235"/>
    </row>
    <row r="22" spans="1:8" s="21" customFormat="1" ht="12.75" customHeight="1" x14ac:dyDescent="0.2">
      <c r="A22" s="91"/>
      <c r="B22" s="16" t="s">
        <v>127</v>
      </c>
      <c r="C22" s="52" t="s">
        <v>227</v>
      </c>
      <c r="D22" s="158">
        <v>-40078910</v>
      </c>
      <c r="E22" s="263">
        <v>0</v>
      </c>
    </row>
    <row r="23" spans="1:8" s="21" customFormat="1" ht="12.75" customHeight="1" x14ac:dyDescent="0.2">
      <c r="A23" s="91"/>
      <c r="B23" s="16" t="s">
        <v>228</v>
      </c>
      <c r="C23" s="63" t="s">
        <v>152</v>
      </c>
      <c r="D23" s="158">
        <v>-1198682</v>
      </c>
      <c r="E23" s="263">
        <v>0</v>
      </c>
      <c r="H23" s="235"/>
    </row>
    <row r="24" spans="1:8" s="21" customFormat="1" ht="12.75" customHeight="1" x14ac:dyDescent="0.2">
      <c r="A24" s="86"/>
      <c r="B24" s="14" t="s">
        <v>66</v>
      </c>
      <c r="C24" s="63"/>
      <c r="D24" s="259">
        <f>+SUM(D25:D30)</f>
        <v>-10977320</v>
      </c>
      <c r="E24" s="260">
        <f>+SUM(E25:E30)</f>
        <v>10234418.35</v>
      </c>
      <c r="H24" s="235"/>
    </row>
    <row r="25" spans="1:8" s="21" customFormat="1" ht="12.75" customHeight="1" x14ac:dyDescent="0.2">
      <c r="A25" s="86"/>
      <c r="B25" s="16" t="s">
        <v>3</v>
      </c>
      <c r="C25" s="63"/>
      <c r="D25" s="149">
        <v>-112854</v>
      </c>
      <c r="E25" s="262">
        <f>-442618</f>
        <v>-442618</v>
      </c>
      <c r="H25" s="235"/>
    </row>
    <row r="26" spans="1:8" s="21" customFormat="1" ht="12.75" customHeight="1" x14ac:dyDescent="0.2">
      <c r="A26" s="86"/>
      <c r="B26" s="16" t="s">
        <v>67</v>
      </c>
      <c r="C26" s="63"/>
      <c r="D26" s="149">
        <v>-11209866</v>
      </c>
      <c r="E26" s="262">
        <f>10134751.58</f>
        <v>10134751.58</v>
      </c>
      <c r="H26" s="235"/>
    </row>
    <row r="27" spans="1:8" s="21" customFormat="1" ht="12.75" customHeight="1" x14ac:dyDescent="0.2">
      <c r="A27" s="91"/>
      <c r="B27" s="16" t="s">
        <v>68</v>
      </c>
      <c r="C27" s="63"/>
      <c r="D27" s="149">
        <v>258343</v>
      </c>
      <c r="E27" s="262">
        <f>2625083</f>
        <v>2625083</v>
      </c>
      <c r="H27" s="235"/>
    </row>
    <row r="28" spans="1:8" s="25" customFormat="1" ht="12.75" customHeight="1" x14ac:dyDescent="0.2">
      <c r="A28" s="91"/>
      <c r="B28" s="16" t="s">
        <v>69</v>
      </c>
      <c r="C28" s="63"/>
      <c r="D28" s="149">
        <v>1791382</v>
      </c>
      <c r="E28" s="262">
        <f>-2077531</f>
        <v>-2077531</v>
      </c>
      <c r="H28" s="235"/>
    </row>
    <row r="29" spans="1:8" s="25" customFormat="1" ht="12.75" customHeight="1" x14ac:dyDescent="0.2">
      <c r="A29" s="91"/>
      <c r="B29" s="16" t="s">
        <v>128</v>
      </c>
      <c r="C29" s="63"/>
      <c r="D29" s="149">
        <v>-972332</v>
      </c>
      <c r="E29" s="262">
        <f>-706440.23</f>
        <v>-706440.23</v>
      </c>
      <c r="H29" s="235"/>
    </row>
    <row r="30" spans="1:8" s="21" customFormat="1" ht="12.75" customHeight="1" x14ac:dyDescent="0.2">
      <c r="A30" s="91"/>
      <c r="B30" s="16" t="s">
        <v>70</v>
      </c>
      <c r="C30" s="63"/>
      <c r="D30" s="149">
        <v>-731993</v>
      </c>
      <c r="E30" s="262">
        <f>701173</f>
        <v>701173</v>
      </c>
      <c r="H30" s="235"/>
    </row>
    <row r="31" spans="1:8" s="21" customFormat="1" ht="12.75" customHeight="1" x14ac:dyDescent="0.2">
      <c r="A31" s="86"/>
      <c r="B31" s="14" t="s">
        <v>71</v>
      </c>
      <c r="C31" s="63"/>
      <c r="D31" s="259">
        <f>+SUM(D32:D34)</f>
        <v>-3000661.1694919998</v>
      </c>
      <c r="E31" s="260">
        <f>+SUM(E32:E34)</f>
        <v>-4344387</v>
      </c>
      <c r="H31" s="235"/>
    </row>
    <row r="32" spans="1:8" s="21" customFormat="1" ht="12.75" customHeight="1" x14ac:dyDescent="0.2">
      <c r="A32" s="86"/>
      <c r="B32" s="16" t="s">
        <v>72</v>
      </c>
      <c r="C32" s="63"/>
      <c r="D32" s="149">
        <v>-4295890.1694919998</v>
      </c>
      <c r="E32" s="262">
        <f>-5584614</f>
        <v>-5584614</v>
      </c>
      <c r="H32" s="235"/>
    </row>
    <row r="33" spans="1:8" s="21" customFormat="1" ht="12.75" customHeight="1" x14ac:dyDescent="0.2">
      <c r="A33" s="86"/>
      <c r="B33" s="16" t="s">
        <v>73</v>
      </c>
      <c r="C33" s="63"/>
      <c r="D33" s="158">
        <v>1668213</v>
      </c>
      <c r="E33" s="262">
        <f>1240227</f>
        <v>1240227</v>
      </c>
      <c r="H33" s="235"/>
    </row>
    <row r="34" spans="1:8" s="21" customFormat="1" ht="12.75" customHeight="1" x14ac:dyDescent="0.2">
      <c r="A34" s="86"/>
      <c r="B34" s="16" t="s">
        <v>76</v>
      </c>
      <c r="C34" s="63"/>
      <c r="D34" s="158">
        <v>-372984</v>
      </c>
      <c r="E34" s="263">
        <v>0</v>
      </c>
      <c r="H34" s="235"/>
    </row>
    <row r="35" spans="1:8" s="21" customFormat="1" ht="12.75" customHeight="1" x14ac:dyDescent="0.2">
      <c r="A35" s="86"/>
      <c r="B35" s="16"/>
      <c r="C35" s="63"/>
      <c r="D35" s="149"/>
      <c r="E35" s="262"/>
      <c r="H35" s="235"/>
    </row>
    <row r="36" spans="1:8" s="21" customFormat="1" ht="12.75" customHeight="1" x14ac:dyDescent="0.2">
      <c r="A36" s="86"/>
      <c r="B36" s="14" t="s">
        <v>202</v>
      </c>
      <c r="C36" s="63"/>
      <c r="D36" s="257">
        <f>+D37+D43</f>
        <v>-75528399</v>
      </c>
      <c r="E36" s="258">
        <f>+E37+E43</f>
        <v>-22294278.07</v>
      </c>
      <c r="H36" s="235"/>
    </row>
    <row r="37" spans="1:8" s="21" customFormat="1" ht="12.75" customHeight="1" x14ac:dyDescent="0.2">
      <c r="A37" s="86"/>
      <c r="B37" s="14" t="s">
        <v>74</v>
      </c>
      <c r="C37" s="63"/>
      <c r="D37" s="259">
        <f>+SUM(D38:D42)</f>
        <v>-96728124</v>
      </c>
      <c r="E37" s="260">
        <f>+SUM(E38:E42)</f>
        <v>-29989605</v>
      </c>
      <c r="H37" s="235"/>
    </row>
    <row r="38" spans="1:8" s="21" customFormat="1" ht="12.75" customHeight="1" x14ac:dyDescent="0.2">
      <c r="A38" s="86"/>
      <c r="B38" s="16" t="s">
        <v>129</v>
      </c>
      <c r="C38" s="63"/>
      <c r="D38" s="149">
        <v>-71801144</v>
      </c>
      <c r="E38" s="262">
        <f>-1982787</f>
        <v>-1982787</v>
      </c>
      <c r="H38" s="235"/>
    </row>
    <row r="39" spans="1:8" s="21" customFormat="1" ht="12.75" customHeight="1" x14ac:dyDescent="0.2">
      <c r="A39" s="86"/>
      <c r="B39" s="21" t="s">
        <v>231</v>
      </c>
      <c r="C39" s="63" t="s">
        <v>227</v>
      </c>
      <c r="D39" s="149">
        <v>-9649000</v>
      </c>
      <c r="E39" s="264">
        <f>-1450209</f>
        <v>-1450209</v>
      </c>
      <c r="H39" s="235"/>
    </row>
    <row r="40" spans="1:8" s="21" customFormat="1" ht="12.75" customHeight="1" x14ac:dyDescent="0.2">
      <c r="A40" s="86"/>
      <c r="B40" s="16" t="s">
        <v>6</v>
      </c>
      <c r="C40" s="63" t="s">
        <v>232</v>
      </c>
      <c r="D40" s="149">
        <v>-1360564</v>
      </c>
      <c r="E40" s="262">
        <f>-1562428</f>
        <v>-1562428</v>
      </c>
      <c r="H40" s="235"/>
    </row>
    <row r="41" spans="1:8" s="21" customFormat="1" ht="12.75" customHeight="1" x14ac:dyDescent="0.2">
      <c r="A41" s="86"/>
      <c r="B41" s="16" t="s">
        <v>7</v>
      </c>
      <c r="C41" s="63" t="s">
        <v>40</v>
      </c>
      <c r="D41" s="149">
        <v>-13756557</v>
      </c>
      <c r="E41" s="262">
        <f>-19499546</f>
        <v>-19499546</v>
      </c>
      <c r="H41" s="235"/>
    </row>
    <row r="42" spans="1:8" s="21" customFormat="1" ht="12.75" customHeight="1" x14ac:dyDescent="0.2">
      <c r="A42" s="86"/>
      <c r="B42" s="16" t="s">
        <v>82</v>
      </c>
      <c r="C42" s="63" t="s">
        <v>83</v>
      </c>
      <c r="D42" s="149">
        <v>-160859</v>
      </c>
      <c r="E42" s="262">
        <f>-5494635</f>
        <v>-5494635</v>
      </c>
      <c r="H42" s="235"/>
    </row>
    <row r="43" spans="1:8" s="21" customFormat="1" ht="12.75" customHeight="1" x14ac:dyDescent="0.2">
      <c r="A43" s="86"/>
      <c r="B43" s="14" t="s">
        <v>75</v>
      </c>
      <c r="C43" s="63"/>
      <c r="D43" s="259">
        <f>+SUM(D44:D47)</f>
        <v>21199725</v>
      </c>
      <c r="E43" s="260">
        <f>+SUM(E44:E47)</f>
        <v>7695326.9299999997</v>
      </c>
      <c r="H43" s="235"/>
    </row>
    <row r="44" spans="1:8" s="21" customFormat="1" ht="12.75" customHeight="1" x14ac:dyDescent="0.2">
      <c r="A44" s="86"/>
      <c r="B44" s="16" t="s">
        <v>129</v>
      </c>
      <c r="C44" s="63"/>
      <c r="D44" s="158">
        <v>1150197</v>
      </c>
      <c r="E44" s="262">
        <f>6228511.93</f>
        <v>6228511.9299999997</v>
      </c>
      <c r="H44" s="235"/>
    </row>
    <row r="45" spans="1:8" s="21" customFormat="1" ht="12.75" customHeight="1" x14ac:dyDescent="0.2">
      <c r="A45" s="86"/>
      <c r="B45" s="21" t="s">
        <v>231</v>
      </c>
      <c r="C45" s="63" t="s">
        <v>227</v>
      </c>
      <c r="D45" s="158">
        <v>6699000</v>
      </c>
      <c r="E45" s="263">
        <v>0</v>
      </c>
      <c r="H45" s="235"/>
    </row>
    <row r="46" spans="1:8" s="21" customFormat="1" ht="12.75" customHeight="1" x14ac:dyDescent="0.2">
      <c r="A46" s="86"/>
      <c r="B46" s="16" t="s">
        <v>7</v>
      </c>
      <c r="C46" s="63"/>
      <c r="D46" s="151">
        <v>0</v>
      </c>
      <c r="E46" s="264">
        <f>100231</f>
        <v>100231</v>
      </c>
      <c r="H46" s="235"/>
    </row>
    <row r="47" spans="1:8" s="21" customFormat="1" ht="12.75" customHeight="1" x14ac:dyDescent="0.2">
      <c r="A47" s="86"/>
      <c r="B47" s="16" t="s">
        <v>9</v>
      </c>
      <c r="C47" s="63"/>
      <c r="D47" s="158">
        <v>13350528</v>
      </c>
      <c r="E47" s="264">
        <f>1366584</f>
        <v>1366584</v>
      </c>
      <c r="H47" s="235"/>
    </row>
    <row r="48" spans="1:8" s="21" customFormat="1" ht="12.75" customHeight="1" x14ac:dyDescent="0.2">
      <c r="A48" s="86"/>
      <c r="B48" s="16"/>
      <c r="C48" s="63"/>
      <c r="D48" s="149"/>
      <c r="E48" s="264"/>
      <c r="H48" s="235"/>
    </row>
    <row r="49" spans="1:8" s="21" customFormat="1" ht="12.75" customHeight="1" x14ac:dyDescent="0.2">
      <c r="A49" s="86"/>
      <c r="B49" s="14" t="s">
        <v>77</v>
      </c>
      <c r="C49" s="63"/>
      <c r="D49" s="257">
        <f>+D50+D52+D57</f>
        <v>36392073.169491999</v>
      </c>
      <c r="E49" s="258">
        <f>+E50+E52+E57</f>
        <v>7520864.8550000004</v>
      </c>
      <c r="H49" s="235"/>
    </row>
    <row r="50" spans="1:8" s="21" customFormat="1" ht="12.75" customHeight="1" x14ac:dyDescent="0.2">
      <c r="A50" s="86"/>
      <c r="B50" s="14" t="s">
        <v>78</v>
      </c>
      <c r="C50" s="63"/>
      <c r="D50" s="259">
        <f>+D51</f>
        <v>5961941</v>
      </c>
      <c r="E50" s="260">
        <f>+E51</f>
        <v>9521208.8550000004</v>
      </c>
      <c r="H50" s="235"/>
    </row>
    <row r="51" spans="1:8" s="21" customFormat="1" ht="12.75" customHeight="1" x14ac:dyDescent="0.2">
      <c r="A51" s="86"/>
      <c r="B51" s="21" t="s">
        <v>90</v>
      </c>
      <c r="C51" s="63"/>
      <c r="D51" s="149">
        <v>5961941</v>
      </c>
      <c r="E51" s="262">
        <f>9521208.855</f>
        <v>9521208.8550000004</v>
      </c>
      <c r="H51" s="235"/>
    </row>
    <row r="52" spans="1:8" s="21" customFormat="1" ht="12.75" customHeight="1" x14ac:dyDescent="0.2">
      <c r="A52" s="86"/>
      <c r="B52" s="14" t="s">
        <v>233</v>
      </c>
      <c r="C52" s="63"/>
      <c r="D52" s="265">
        <f>+SUM(D53:D56)</f>
        <v>30555132.169491999</v>
      </c>
      <c r="E52" s="260">
        <f>+SUM(E53:E56)</f>
        <v>-1688578</v>
      </c>
      <c r="H52" s="235"/>
    </row>
    <row r="53" spans="1:8" s="21" customFormat="1" ht="12.75" customHeight="1" x14ac:dyDescent="0.2">
      <c r="A53" s="86"/>
      <c r="B53" s="16" t="s">
        <v>130</v>
      </c>
      <c r="C53" s="63"/>
      <c r="D53" s="149"/>
      <c r="E53" s="262"/>
      <c r="H53" s="235"/>
    </row>
    <row r="54" spans="1:8" s="21" customFormat="1" ht="12.75" customHeight="1" x14ac:dyDescent="0.2">
      <c r="A54" s="86"/>
      <c r="B54" s="16" t="s">
        <v>131</v>
      </c>
      <c r="C54" s="52" t="s">
        <v>126</v>
      </c>
      <c r="D54" s="149">
        <v>92000000</v>
      </c>
      <c r="E54" s="262">
        <f>48127646</f>
        <v>48127646</v>
      </c>
      <c r="H54" s="235"/>
    </row>
    <row r="55" spans="1:8" s="21" customFormat="1" ht="12.75" customHeight="1" x14ac:dyDescent="0.2">
      <c r="A55" s="86"/>
      <c r="B55" s="16" t="s">
        <v>132</v>
      </c>
      <c r="C55" s="63"/>
      <c r="D55" s="149"/>
      <c r="E55" s="262"/>
      <c r="H55" s="235"/>
    </row>
    <row r="56" spans="1:8" s="21" customFormat="1" ht="12.75" customHeight="1" x14ac:dyDescent="0.2">
      <c r="A56" s="86"/>
      <c r="B56" s="16" t="s">
        <v>131</v>
      </c>
      <c r="C56" s="254"/>
      <c r="D56" s="149">
        <v>-61444867.830508001</v>
      </c>
      <c r="E56" s="262">
        <f>-49816224</f>
        <v>-49816224</v>
      </c>
      <c r="H56" s="235"/>
    </row>
    <row r="57" spans="1:8" s="204" customFormat="1" ht="12.75" customHeight="1" x14ac:dyDescent="0.2">
      <c r="A57" s="86"/>
      <c r="B57" s="14" t="s">
        <v>133</v>
      </c>
      <c r="C57" s="63"/>
      <c r="D57" s="265">
        <v>-125000</v>
      </c>
      <c r="E57" s="260">
        <f>-311766</f>
        <v>-311766</v>
      </c>
      <c r="H57" s="235"/>
    </row>
    <row r="58" spans="1:8" s="204" customFormat="1" ht="12.75" customHeight="1" x14ac:dyDescent="0.2">
      <c r="A58" s="126"/>
      <c r="B58" s="16"/>
      <c r="C58" s="63"/>
      <c r="D58" s="149"/>
      <c r="E58" s="262"/>
      <c r="H58" s="235"/>
    </row>
    <row r="59" spans="1:8" s="204" customFormat="1" ht="12.75" customHeight="1" x14ac:dyDescent="0.2">
      <c r="A59" s="126"/>
      <c r="B59" s="14" t="s">
        <v>79</v>
      </c>
      <c r="C59" s="63"/>
      <c r="D59" s="266"/>
      <c r="E59" s="267"/>
      <c r="H59" s="235"/>
    </row>
    <row r="60" spans="1:8" s="204" customFormat="1" ht="12" x14ac:dyDescent="0.2">
      <c r="A60" s="126"/>
      <c r="B60" s="14" t="s">
        <v>80</v>
      </c>
      <c r="C60" s="63"/>
      <c r="D60" s="268">
        <f>+D49+D36+D10</f>
        <v>-22312571</v>
      </c>
      <c r="E60" s="269">
        <f>+E49+E36+E10</f>
        <v>11584540.135000002</v>
      </c>
      <c r="H60" s="235"/>
    </row>
    <row r="61" spans="1:8" s="25" customFormat="1" ht="12" x14ac:dyDescent="0.2">
      <c r="A61" s="91"/>
      <c r="B61" s="16"/>
      <c r="C61" s="63"/>
      <c r="D61" s="270"/>
      <c r="E61" s="271"/>
      <c r="H61" s="235"/>
    </row>
    <row r="62" spans="1:8" s="25" customFormat="1" ht="12" x14ac:dyDescent="0.2">
      <c r="A62" s="91"/>
      <c r="B62" s="16" t="s">
        <v>38</v>
      </c>
      <c r="C62" s="63" t="s">
        <v>47</v>
      </c>
      <c r="D62" s="150">
        <v>45380059</v>
      </c>
      <c r="E62" s="272">
        <f>33795519</f>
        <v>33795519</v>
      </c>
      <c r="H62" s="235"/>
    </row>
    <row r="63" spans="1:8" s="21" customFormat="1" thickBot="1" x14ac:dyDescent="0.25">
      <c r="A63" s="106"/>
      <c r="B63" s="50" t="s">
        <v>39</v>
      </c>
      <c r="C63" s="121" t="s">
        <v>47</v>
      </c>
      <c r="D63" s="273">
        <v>23067488</v>
      </c>
      <c r="E63" s="274">
        <f>45380059</f>
        <v>45380059</v>
      </c>
      <c r="H63" s="235"/>
    </row>
    <row r="64" spans="1:8" s="31" customFormat="1" ht="15" x14ac:dyDescent="0.2">
      <c r="A64" s="34"/>
      <c r="B64" s="16"/>
      <c r="C64" s="65"/>
      <c r="D64" s="35"/>
      <c r="E64" s="35"/>
      <c r="H64" s="233"/>
    </row>
    <row r="65" spans="2:5" ht="14.25" customHeight="1" x14ac:dyDescent="0.2">
      <c r="B65" s="310" t="s">
        <v>224</v>
      </c>
      <c r="C65" s="310"/>
      <c r="D65" s="310"/>
      <c r="E65" s="310"/>
    </row>
    <row r="66" spans="2:5" ht="14.25" customHeight="1" x14ac:dyDescent="0.2">
      <c r="B66" s="310"/>
      <c r="C66" s="310"/>
      <c r="D66" s="310"/>
      <c r="E66" s="310"/>
    </row>
    <row r="69" spans="2:5" x14ac:dyDescent="0.2">
      <c r="D69" s="19">
        <f>D63-D62</f>
        <v>-22312571</v>
      </c>
      <c r="E69" s="19">
        <f>E63-E62</f>
        <v>11584540</v>
      </c>
    </row>
    <row r="70" spans="2:5" x14ac:dyDescent="0.2">
      <c r="D70" s="253">
        <f>+D60-D69</f>
        <v>0</v>
      </c>
      <c r="E70" s="253">
        <f>+E60-E69</f>
        <v>0.13500000163912773</v>
      </c>
    </row>
  </sheetData>
  <mergeCells count="4">
    <mergeCell ref="B65:E66"/>
    <mergeCell ref="B1:E1"/>
    <mergeCell ref="B3:E3"/>
    <mergeCell ref="B4:E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90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DAEMSEngagementItemInfo xmlns="http://schemas.microsoft.com/DAEMSEngagementItemInfoXML">
  <EngagementID>22102</EngagementID>
  <LogicalEMSServerID>8046625255170022453</LogicalEMSServerID>
  <WorkingPaperID>2109931873500000697</WorkingPaperID>
</DAEMSEngagementItemInfo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1455D716-007A-4038-9EC2-93D5723AB355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</vt:lpstr>
      <vt:lpstr>P&amp;L</vt:lpstr>
      <vt:lpstr>SORIE</vt:lpstr>
      <vt:lpstr>ECPN</vt:lpstr>
      <vt:lpstr>FLUJOS_MEMORIA</vt:lpstr>
      <vt:lpstr>'Balance '!Área_de_impresión</vt:lpstr>
      <vt:lpstr>ECPN!Área_de_impresión</vt:lpstr>
      <vt:lpstr>FLUJOS_MEMORIA!Área_de_impresión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ONCE</cp:lastModifiedBy>
  <cp:lastPrinted>2016-05-23T12:16:42Z</cp:lastPrinted>
  <dcterms:created xsi:type="dcterms:W3CDTF">2008-04-02T06:33:37Z</dcterms:created>
  <dcterms:modified xsi:type="dcterms:W3CDTF">2016-08-29T10:50:17Z</dcterms:modified>
</cp:coreProperties>
</file>